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7035"/>
  </bookViews>
  <sheets>
    <sheet name="Table of Contents" sheetId="1" r:id="rId1"/>
    <sheet name="Notes" sheetId="2" r:id="rId2"/>
    <sheet name="1A" sheetId="3" r:id="rId3"/>
    <sheet name="1B" sheetId="4" r:id="rId4"/>
    <sheet name="1D" sheetId="5" r:id="rId5"/>
    <sheet name="1E" sheetId="6" r:id="rId6"/>
    <sheet name="2A" sheetId="7" r:id="rId7"/>
    <sheet name="2B" sheetId="8" r:id="rId8"/>
    <sheet name="2C" sheetId="9" r:id="rId9"/>
    <sheet name="3A" sheetId="10" r:id="rId10"/>
    <sheet name="3B" sheetId="11" r:id="rId11"/>
    <sheet name="4A" sheetId="12" r:id="rId12"/>
    <sheet name="4B" sheetId="13" r:id="rId13"/>
    <sheet name="4C" sheetId="14" r:id="rId14"/>
    <sheet name="5A" sheetId="15" r:id="rId15"/>
    <sheet name="5C" sheetId="16" r:id="rId16"/>
    <sheet name="5D" sheetId="17" r:id="rId17"/>
    <sheet name="6A" sheetId="18" r:id="rId18"/>
    <sheet name="6B" sheetId="19" r:id="rId19"/>
    <sheet name="6C" sheetId="20" r:id="rId20"/>
    <sheet name="6D" sheetId="21" r:id="rId21"/>
    <sheet name="7A" sheetId="22" r:id="rId22"/>
    <sheet name="7B" sheetId="23" r:id="rId23"/>
    <sheet name="7C" sheetId="24" r:id="rId24"/>
    <sheet name="8A" sheetId="25" r:id="rId25"/>
    <sheet name="8B" sheetId="26" r:id="rId26"/>
    <sheet name="8C" sheetId="27" r:id="rId27"/>
    <sheet name="9A" sheetId="28" r:id="rId28"/>
    <sheet name="9B" sheetId="29" r:id="rId29"/>
    <sheet name="9C" sheetId="30" r:id="rId30"/>
    <sheet name="9E" sheetId="31" r:id="rId31"/>
    <sheet name="10A" sheetId="32" r:id="rId32"/>
    <sheet name="10B" sheetId="33" r:id="rId33"/>
    <sheet name="10C" sheetId="34" r:id="rId34"/>
    <sheet name="11A" sheetId="35" r:id="rId35"/>
    <sheet name="11B" sheetId="36" r:id="rId36"/>
    <sheet name="11C" sheetId="37" r:id="rId37"/>
    <sheet name="12A" sheetId="38" r:id="rId38"/>
    <sheet name="12B" sheetId="39" r:id="rId39"/>
    <sheet name="12C" sheetId="40" r:id="rId40"/>
    <sheet name="13A" sheetId="41" r:id="rId41"/>
    <sheet name="13C" sheetId="42" r:id="rId42"/>
    <sheet name="13D" sheetId="43" r:id="rId43"/>
    <sheet name="13E" sheetId="44" r:id="rId44"/>
    <sheet name="13F" sheetId="45" r:id="rId45"/>
    <sheet name="14A" sheetId="46" r:id="rId46"/>
    <sheet name="14B" sheetId="47" r:id="rId47"/>
    <sheet name="14C" sheetId="48" r:id="rId48"/>
    <sheet name="15A" sheetId="49" r:id="rId49"/>
    <sheet name="15C" sheetId="50" r:id="rId50"/>
    <sheet name="15D" sheetId="51" r:id="rId51"/>
    <sheet name="16A" sheetId="52" r:id="rId52"/>
    <sheet name="16C" sheetId="53" r:id="rId53"/>
    <sheet name="16D" sheetId="54" r:id="rId54"/>
    <sheet name="16E" sheetId="55" r:id="rId55"/>
    <sheet name="17A" sheetId="56" r:id="rId56"/>
    <sheet name="17B" sheetId="57" r:id="rId57"/>
    <sheet name="17D" sheetId="58" r:id="rId58"/>
    <sheet name="17E" sheetId="59" r:id="rId59"/>
    <sheet name="17F" sheetId="60" r:id="rId60"/>
    <sheet name="18A" sheetId="61" r:id="rId61"/>
    <sheet name="18B" sheetId="62" r:id="rId62"/>
    <sheet name="18C" sheetId="63" r:id="rId63"/>
    <sheet name="18D" sheetId="64" r:id="rId64"/>
    <sheet name="18E" sheetId="65" r:id="rId65"/>
    <sheet name="19A" sheetId="66" r:id="rId66"/>
    <sheet name="19B" sheetId="67" r:id="rId67"/>
    <sheet name="19C" sheetId="68" r:id="rId68"/>
    <sheet name="20" sheetId="69" r:id="rId69"/>
    <sheet name="21A" sheetId="70" r:id="rId70"/>
    <sheet name="22A" sheetId="71" r:id="rId71"/>
    <sheet name="22B" sheetId="72" r:id="rId72"/>
    <sheet name="22C" sheetId="73" r:id="rId73"/>
    <sheet name="23" sheetId="74" r:id="rId74"/>
  </sheets>
  <calcPr calcId="145621"/>
</workbook>
</file>

<file path=xl/calcChain.xml><?xml version="1.0" encoding="utf-8"?>
<calcChain xmlns="http://schemas.openxmlformats.org/spreadsheetml/2006/main">
  <c r="R48" i="74" l="1"/>
  <c r="E46" i="74"/>
  <c r="E45" i="74"/>
  <c r="D44" i="74"/>
  <c r="D43" i="74"/>
  <c r="C42" i="74"/>
  <c r="C41" i="74"/>
  <c r="B40" i="74"/>
  <c r="P39" i="74"/>
  <c r="P38" i="74"/>
  <c r="E38" i="74"/>
  <c r="P37" i="74"/>
  <c r="O36" i="74"/>
  <c r="O35" i="74"/>
  <c r="N34" i="74"/>
  <c r="N33" i="74"/>
  <c r="N32" i="74"/>
  <c r="M31" i="74"/>
  <c r="H30" i="74"/>
  <c r="G29" i="74"/>
  <c r="F29" i="74"/>
  <c r="E29" i="74"/>
  <c r="B29" i="74"/>
  <c r="L28" i="74"/>
  <c r="F27" i="74"/>
  <c r="J26" i="74"/>
  <c r="K25" i="74"/>
  <c r="B25" i="74"/>
  <c r="M24" i="74"/>
  <c r="P23" i="74"/>
  <c r="N23" i="74"/>
  <c r="M23" i="74"/>
  <c r="J23" i="74"/>
  <c r="F23" i="74"/>
  <c r="I22" i="74"/>
  <c r="G22" i="74"/>
  <c r="K21" i="74"/>
  <c r="J21" i="74"/>
  <c r="G21" i="74"/>
  <c r="F21" i="74"/>
  <c r="E21" i="74"/>
  <c r="J20" i="74"/>
  <c r="G20" i="74"/>
  <c r="F19" i="74"/>
  <c r="J18" i="74"/>
  <c r="G17" i="74"/>
  <c r="J16" i="74"/>
  <c r="P15" i="74"/>
  <c r="M15" i="74"/>
  <c r="J14" i="74"/>
  <c r="J13" i="74"/>
  <c r="F12" i="74"/>
  <c r="K11" i="74"/>
  <c r="G11" i="74"/>
  <c r="E11" i="74"/>
  <c r="N10" i="74"/>
  <c r="K10" i="74"/>
  <c r="I9" i="74"/>
  <c r="D9" i="74"/>
  <c r="B9" i="74"/>
  <c r="K8" i="74"/>
  <c r="G8" i="74"/>
  <c r="E8" i="74"/>
  <c r="D8" i="74"/>
  <c r="R7" i="74"/>
  <c r="I7" i="74"/>
  <c r="M6" i="74"/>
  <c r="R5" i="74"/>
  <c r="K5" i="74"/>
  <c r="H5" i="74"/>
  <c r="D5" i="74"/>
  <c r="C5" i="74"/>
  <c r="L4" i="74"/>
  <c r="H4" i="74"/>
  <c r="B4" i="74"/>
  <c r="D18" i="73"/>
  <c r="D17" i="73"/>
  <c r="D16" i="73"/>
  <c r="D8" i="73"/>
  <c r="D7" i="73"/>
  <c r="B7" i="73"/>
  <c r="B6" i="73"/>
  <c r="D5" i="73"/>
  <c r="B5" i="73"/>
  <c r="F4" i="73"/>
  <c r="D4" i="73"/>
  <c r="B4" i="73"/>
  <c r="D32" i="72"/>
  <c r="D31" i="72"/>
  <c r="D30" i="72"/>
  <c r="C29" i="72"/>
  <c r="C28" i="72"/>
  <c r="C27" i="72"/>
  <c r="B27" i="72"/>
  <c r="C26" i="72"/>
  <c r="B26" i="72"/>
  <c r="B25" i="72"/>
  <c r="C24" i="72"/>
  <c r="B24" i="72"/>
  <c r="H23" i="72"/>
  <c r="H22" i="72"/>
  <c r="G21" i="72"/>
  <c r="G20" i="72"/>
  <c r="G19" i="72"/>
  <c r="G18" i="72"/>
  <c r="H17" i="72"/>
  <c r="G17" i="72"/>
  <c r="C17" i="72"/>
  <c r="H16" i="72"/>
  <c r="F16" i="72"/>
  <c r="F15" i="72"/>
  <c r="F14" i="72"/>
  <c r="B14" i="72"/>
  <c r="G13" i="72"/>
  <c r="F13" i="72"/>
  <c r="C13" i="72"/>
  <c r="B13" i="72"/>
  <c r="F12" i="72"/>
  <c r="C12" i="72"/>
  <c r="B12" i="72"/>
  <c r="F11" i="72"/>
  <c r="F10" i="72"/>
  <c r="H9" i="72"/>
  <c r="E9" i="72"/>
  <c r="B9" i="72"/>
  <c r="E8" i="72"/>
  <c r="E7" i="72"/>
  <c r="E6" i="72"/>
  <c r="H5" i="72"/>
  <c r="E5" i="72"/>
  <c r="H4" i="72"/>
  <c r="E4" i="72"/>
  <c r="B19" i="71"/>
  <c r="B18" i="71"/>
  <c r="B17" i="71"/>
  <c r="G16" i="71"/>
  <c r="G15" i="71"/>
  <c r="G14" i="71"/>
  <c r="F14" i="71"/>
  <c r="F13" i="71"/>
  <c r="F12" i="71"/>
  <c r="E11" i="71"/>
  <c r="D10" i="71"/>
  <c r="G9" i="71"/>
  <c r="E9" i="71"/>
  <c r="D9" i="71"/>
  <c r="F8" i="71"/>
  <c r="E8" i="71"/>
  <c r="D8" i="71"/>
  <c r="B8" i="71"/>
  <c r="G7" i="71"/>
  <c r="E7" i="71"/>
  <c r="D7" i="71"/>
  <c r="C7" i="71"/>
  <c r="G6" i="71"/>
  <c r="F6" i="71"/>
  <c r="E6" i="71"/>
  <c r="D6" i="71"/>
  <c r="C6" i="71"/>
  <c r="B6" i="71"/>
  <c r="G5" i="71"/>
  <c r="C5" i="71"/>
  <c r="G4" i="71"/>
  <c r="E4" i="71"/>
  <c r="D4" i="71"/>
  <c r="C4" i="71"/>
  <c r="R44" i="70"/>
  <c r="R43" i="70"/>
  <c r="R42" i="70"/>
  <c r="R41" i="70"/>
  <c r="E39" i="70"/>
  <c r="E38" i="70"/>
  <c r="D37" i="70"/>
  <c r="P36" i="70"/>
  <c r="P35" i="70"/>
  <c r="L34" i="70"/>
  <c r="R33" i="70"/>
  <c r="L33" i="70"/>
  <c r="K32" i="70"/>
  <c r="K31" i="70"/>
  <c r="I30" i="70"/>
  <c r="R29" i="70"/>
  <c r="H29" i="70"/>
  <c r="D29" i="70"/>
  <c r="H28" i="70"/>
  <c r="G27" i="70"/>
  <c r="G26" i="70"/>
  <c r="L25" i="70"/>
  <c r="G25" i="70"/>
  <c r="D25" i="70"/>
  <c r="I24" i="70"/>
  <c r="H24" i="70"/>
  <c r="E23" i="70"/>
  <c r="R22" i="70"/>
  <c r="H22" i="70"/>
  <c r="E22" i="70"/>
  <c r="K21" i="70"/>
  <c r="I21" i="70"/>
  <c r="F20" i="70"/>
  <c r="D20" i="70"/>
  <c r="I19" i="70"/>
  <c r="H19" i="70"/>
  <c r="H18" i="70"/>
  <c r="R17" i="70"/>
  <c r="I17" i="70"/>
  <c r="E17" i="70"/>
  <c r="O16" i="70"/>
  <c r="O15" i="70"/>
  <c r="O14" i="70"/>
  <c r="O13" i="70"/>
  <c r="L12" i="70"/>
  <c r="P11" i="70"/>
  <c r="N11" i="70"/>
  <c r="I11" i="70"/>
  <c r="E11" i="70"/>
  <c r="C11" i="70"/>
  <c r="L10" i="70"/>
  <c r="C10" i="70"/>
  <c r="N9" i="70"/>
  <c r="O8" i="70"/>
  <c r="E8" i="70"/>
  <c r="N7" i="70"/>
  <c r="M7" i="70"/>
  <c r="L7" i="70"/>
  <c r="F7" i="70"/>
  <c r="M5" i="70"/>
  <c r="K5" i="70"/>
  <c r="H5" i="70"/>
  <c r="F5" i="70"/>
  <c r="C5" i="70"/>
  <c r="B5" i="70"/>
  <c r="R4" i="70"/>
  <c r="P4" i="70"/>
  <c r="K4" i="70"/>
  <c r="C4" i="70"/>
  <c r="B4" i="70"/>
  <c r="C38" i="69"/>
  <c r="C37" i="69"/>
  <c r="B36" i="69"/>
  <c r="C35" i="69"/>
  <c r="B35" i="69"/>
  <c r="P34" i="69"/>
  <c r="P33" i="69"/>
  <c r="P32" i="69"/>
  <c r="O31" i="69"/>
  <c r="N30" i="69"/>
  <c r="E30" i="69"/>
  <c r="N29" i="69"/>
  <c r="N28" i="69"/>
  <c r="N27" i="69"/>
  <c r="M26" i="69"/>
  <c r="M25" i="69"/>
  <c r="C25" i="69"/>
  <c r="M24" i="69"/>
  <c r="P23" i="69"/>
  <c r="K23" i="69"/>
  <c r="P22" i="69"/>
  <c r="K22" i="69"/>
  <c r="P21" i="69"/>
  <c r="K21" i="69"/>
  <c r="K20" i="69"/>
  <c r="K19" i="69"/>
  <c r="K18" i="69"/>
  <c r="K17" i="69"/>
  <c r="K16" i="69"/>
  <c r="K15" i="69"/>
  <c r="K14" i="69"/>
  <c r="H13" i="69"/>
  <c r="H12" i="69"/>
  <c r="B12" i="69"/>
  <c r="I11" i="69"/>
  <c r="G11" i="69"/>
  <c r="G10" i="69"/>
  <c r="B10" i="69"/>
  <c r="O9" i="69"/>
  <c r="L9" i="69"/>
  <c r="G9" i="69"/>
  <c r="E9" i="69"/>
  <c r="N8" i="69"/>
  <c r="M8" i="69"/>
  <c r="I8" i="69"/>
  <c r="G8" i="69"/>
  <c r="B8" i="69"/>
  <c r="O7" i="69"/>
  <c r="L7" i="69"/>
  <c r="H7" i="69"/>
  <c r="G7" i="69"/>
  <c r="D7" i="69"/>
  <c r="C7" i="69"/>
  <c r="F6" i="69"/>
  <c r="L5" i="69"/>
  <c r="K5" i="69"/>
  <c r="J5" i="69"/>
  <c r="I5" i="69"/>
  <c r="F5" i="69"/>
  <c r="E5" i="69"/>
  <c r="D5" i="69"/>
  <c r="C5" i="69"/>
  <c r="B5" i="69"/>
  <c r="F4" i="69"/>
  <c r="E4" i="69"/>
  <c r="C28" i="68"/>
  <c r="C27" i="68"/>
  <c r="B26" i="68"/>
  <c r="I25" i="68"/>
  <c r="I24" i="68"/>
  <c r="I23" i="68"/>
  <c r="B23" i="68"/>
  <c r="H22" i="68"/>
  <c r="I21" i="68"/>
  <c r="H21" i="68"/>
  <c r="G21" i="68"/>
  <c r="B21" i="68"/>
  <c r="I20" i="68"/>
  <c r="H20" i="68"/>
  <c r="G20" i="68"/>
  <c r="I19" i="68"/>
  <c r="G19" i="68"/>
  <c r="G18" i="68"/>
  <c r="F17" i="68"/>
  <c r="B17" i="68"/>
  <c r="F16" i="68"/>
  <c r="I15" i="68"/>
  <c r="F15" i="68"/>
  <c r="C15" i="68"/>
  <c r="F14" i="68"/>
  <c r="E13" i="68"/>
  <c r="E12" i="68"/>
  <c r="C12" i="68"/>
  <c r="E11" i="68"/>
  <c r="E10" i="68"/>
  <c r="E9" i="68"/>
  <c r="H8" i="68"/>
  <c r="E8" i="68"/>
  <c r="E7" i="68"/>
  <c r="D6" i="68"/>
  <c r="F5" i="68"/>
  <c r="D5" i="68"/>
  <c r="I4" i="68"/>
  <c r="H4" i="68"/>
  <c r="G4" i="68"/>
  <c r="F4" i="68"/>
  <c r="D4" i="68"/>
  <c r="F21" i="67"/>
  <c r="F20" i="67"/>
  <c r="F19" i="67"/>
  <c r="F18" i="67"/>
  <c r="B17" i="67"/>
  <c r="B16" i="67"/>
  <c r="B15" i="67"/>
  <c r="B14" i="67"/>
  <c r="B13" i="67"/>
  <c r="D12" i="67"/>
  <c r="D11" i="67"/>
  <c r="F10" i="67"/>
  <c r="D10" i="67"/>
  <c r="B10" i="67"/>
  <c r="D9" i="67"/>
  <c r="D8" i="67"/>
  <c r="B8" i="67"/>
  <c r="C7" i="67"/>
  <c r="C6" i="67"/>
  <c r="C5" i="67"/>
  <c r="C4" i="67"/>
  <c r="C23" i="66"/>
  <c r="B22" i="66"/>
  <c r="B21" i="66"/>
  <c r="B20" i="66"/>
  <c r="B19" i="66"/>
  <c r="F18" i="66"/>
  <c r="F17" i="66"/>
  <c r="E16" i="66"/>
  <c r="F15" i="66"/>
  <c r="E15" i="66"/>
  <c r="E14" i="66"/>
  <c r="E13" i="66"/>
  <c r="F12" i="66"/>
  <c r="E12" i="66"/>
  <c r="E11" i="66"/>
  <c r="E10" i="66"/>
  <c r="D9" i="66"/>
  <c r="D8" i="66"/>
  <c r="D7" i="66"/>
  <c r="D6" i="66"/>
  <c r="E5" i="66"/>
  <c r="D5" i="66"/>
  <c r="F4" i="66"/>
  <c r="E4" i="66"/>
  <c r="D4" i="66"/>
  <c r="C4" i="66"/>
  <c r="H24" i="65"/>
  <c r="H23" i="65"/>
  <c r="B22" i="65"/>
  <c r="B21" i="65"/>
  <c r="B20" i="65"/>
  <c r="G19" i="65"/>
  <c r="F18" i="65"/>
  <c r="E17" i="65"/>
  <c r="E16" i="65"/>
  <c r="G15" i="65"/>
  <c r="F15" i="65"/>
  <c r="E15" i="65"/>
  <c r="D15" i="65"/>
  <c r="G14" i="65"/>
  <c r="F14" i="65"/>
  <c r="D14" i="65"/>
  <c r="D13" i="65"/>
  <c r="H12" i="65"/>
  <c r="D12" i="65"/>
  <c r="B12" i="65"/>
  <c r="E11" i="65"/>
  <c r="C11" i="65"/>
  <c r="D10" i="65"/>
  <c r="C10" i="65"/>
  <c r="H9" i="65"/>
  <c r="E9" i="65"/>
  <c r="C9" i="65"/>
  <c r="E8" i="65"/>
  <c r="C8" i="65"/>
  <c r="B8" i="65"/>
  <c r="H7" i="65"/>
  <c r="G7" i="65"/>
  <c r="F7" i="65"/>
  <c r="E7" i="65"/>
  <c r="D7" i="65"/>
  <c r="C7" i="65"/>
  <c r="B7" i="65"/>
  <c r="H6" i="65"/>
  <c r="E6" i="65"/>
  <c r="D6" i="65"/>
  <c r="C6" i="65"/>
  <c r="B6" i="65"/>
  <c r="F5" i="65"/>
  <c r="E5" i="65"/>
  <c r="D5" i="65"/>
  <c r="C5" i="65"/>
  <c r="B5" i="65"/>
  <c r="H4" i="65"/>
  <c r="E4" i="65"/>
  <c r="C4" i="65"/>
  <c r="B7" i="64"/>
  <c r="B6" i="64"/>
  <c r="B5" i="64"/>
  <c r="B4" i="64"/>
  <c r="B14" i="63"/>
  <c r="B13" i="63"/>
  <c r="E12" i="63"/>
  <c r="D12" i="63"/>
  <c r="E11" i="63"/>
  <c r="C11" i="63"/>
  <c r="E10" i="63"/>
  <c r="C10" i="63"/>
  <c r="D9" i="63"/>
  <c r="C8" i="63"/>
  <c r="C7" i="63"/>
  <c r="E6" i="63"/>
  <c r="C6" i="63"/>
  <c r="E5" i="63"/>
  <c r="C5" i="63"/>
  <c r="E4" i="63"/>
  <c r="D4" i="63"/>
  <c r="C4" i="63"/>
  <c r="B4" i="63"/>
  <c r="B10" i="62"/>
  <c r="B9" i="62"/>
  <c r="B8" i="62"/>
  <c r="B6" i="62"/>
  <c r="C10" i="61"/>
  <c r="C9" i="61"/>
  <c r="C8" i="61"/>
  <c r="C7" i="61"/>
  <c r="B6" i="61"/>
  <c r="C5" i="61"/>
  <c r="B5" i="61"/>
  <c r="C4" i="61"/>
  <c r="B4" i="61"/>
  <c r="C13" i="60"/>
  <c r="C12" i="60"/>
  <c r="B11" i="60"/>
  <c r="C10" i="60"/>
  <c r="B10" i="60"/>
  <c r="D6" i="60"/>
  <c r="B6" i="60"/>
  <c r="D5" i="60"/>
  <c r="D4" i="60"/>
  <c r="D25" i="59"/>
  <c r="D8" i="59"/>
  <c r="D7" i="59"/>
  <c r="D4" i="59"/>
  <c r="C10" i="58"/>
  <c r="C9" i="58"/>
  <c r="C8" i="58"/>
  <c r="B7" i="58"/>
  <c r="B6" i="58"/>
  <c r="E5" i="58"/>
  <c r="D5" i="58"/>
  <c r="E4" i="58"/>
  <c r="D4" i="58"/>
  <c r="F13" i="57"/>
  <c r="F10" i="57"/>
  <c r="D10" i="57"/>
  <c r="C10" i="57"/>
  <c r="B10" i="57"/>
  <c r="F9" i="57"/>
  <c r="D9" i="57"/>
  <c r="C9" i="57"/>
  <c r="B9" i="57"/>
  <c r="F8" i="57"/>
  <c r="D8" i="57"/>
  <c r="C8" i="57"/>
  <c r="B8" i="57"/>
  <c r="F7" i="57"/>
  <c r="D7" i="57"/>
  <c r="C7" i="57"/>
  <c r="B7" i="57"/>
  <c r="F6" i="57"/>
  <c r="D6" i="57"/>
  <c r="C6" i="57"/>
  <c r="B6" i="57"/>
  <c r="D5" i="57"/>
  <c r="C5" i="57"/>
  <c r="B5" i="57"/>
  <c r="F4" i="57"/>
  <c r="D4" i="57"/>
  <c r="C4" i="57"/>
  <c r="B4" i="57"/>
  <c r="C5" i="56"/>
  <c r="C4" i="56"/>
  <c r="C21" i="55"/>
  <c r="B20" i="55"/>
  <c r="B19" i="55"/>
  <c r="H18" i="55"/>
  <c r="B18" i="55"/>
  <c r="H17" i="55"/>
  <c r="B17" i="55"/>
  <c r="G16" i="55"/>
  <c r="G15" i="55"/>
  <c r="G14" i="55"/>
  <c r="F13" i="55"/>
  <c r="F12" i="55"/>
  <c r="E11" i="55"/>
  <c r="E10" i="55"/>
  <c r="E9" i="55"/>
  <c r="C9" i="55"/>
  <c r="H8" i="55"/>
  <c r="G8" i="55"/>
  <c r="F8" i="55"/>
  <c r="E8" i="55"/>
  <c r="B8" i="55"/>
  <c r="G7" i="55"/>
  <c r="D7" i="55"/>
  <c r="B7" i="55"/>
  <c r="D6" i="55"/>
  <c r="D5" i="55"/>
  <c r="G4" i="55"/>
  <c r="D4" i="55"/>
  <c r="C4" i="55"/>
  <c r="B9" i="54"/>
  <c r="B8" i="54"/>
  <c r="B7" i="54"/>
  <c r="B6" i="54"/>
  <c r="B5" i="54"/>
  <c r="B4" i="54"/>
  <c r="E12" i="53"/>
  <c r="E11" i="53"/>
  <c r="E10" i="53"/>
  <c r="E9" i="53"/>
  <c r="E8" i="53"/>
  <c r="D8" i="53"/>
  <c r="C7" i="53"/>
  <c r="B6" i="53"/>
  <c r="C5" i="53"/>
  <c r="B5" i="53"/>
  <c r="E4" i="53"/>
  <c r="D4" i="53"/>
  <c r="C4" i="53"/>
  <c r="B4" i="53"/>
  <c r="B11" i="52"/>
  <c r="B10" i="52"/>
  <c r="E9" i="52"/>
  <c r="E8" i="52"/>
  <c r="B8" i="52"/>
  <c r="B6" i="52"/>
  <c r="B5" i="52"/>
  <c r="E4" i="52"/>
  <c r="C4" i="52"/>
  <c r="D14" i="51"/>
  <c r="C14" i="51"/>
  <c r="D13" i="51"/>
  <c r="C13" i="51"/>
  <c r="D12" i="51"/>
  <c r="C12" i="51"/>
  <c r="C11" i="51"/>
  <c r="B10" i="51"/>
  <c r="B9" i="51"/>
  <c r="B8" i="51"/>
  <c r="D7" i="51"/>
  <c r="C7" i="51"/>
  <c r="B7" i="51"/>
  <c r="B6" i="51"/>
  <c r="D5" i="51"/>
  <c r="B5" i="51"/>
  <c r="D4" i="51"/>
  <c r="C4" i="51"/>
  <c r="B4" i="51"/>
  <c r="B15" i="50"/>
  <c r="F14" i="50"/>
  <c r="F13" i="50"/>
  <c r="F12" i="50"/>
  <c r="E11" i="50"/>
  <c r="E10" i="50"/>
  <c r="E9" i="50"/>
  <c r="B9" i="50"/>
  <c r="F8" i="50"/>
  <c r="E8" i="50"/>
  <c r="C8" i="50"/>
  <c r="D7" i="50"/>
  <c r="C7" i="50"/>
  <c r="F6" i="50"/>
  <c r="D6" i="50"/>
  <c r="C6" i="50"/>
  <c r="B6" i="50"/>
  <c r="F5" i="50"/>
  <c r="D5" i="50"/>
  <c r="B5" i="50"/>
  <c r="F4" i="50"/>
  <c r="D4" i="50"/>
  <c r="C4" i="50"/>
  <c r="B4" i="50"/>
  <c r="F5" i="49"/>
  <c r="D5" i="49"/>
  <c r="C5" i="49"/>
  <c r="B5" i="49"/>
  <c r="F4" i="49"/>
  <c r="D4" i="49"/>
  <c r="C4" i="49"/>
  <c r="B4" i="49"/>
  <c r="C9" i="48"/>
  <c r="C8" i="48"/>
  <c r="B8" i="48"/>
  <c r="C7" i="48"/>
  <c r="B7" i="48"/>
  <c r="B6" i="48"/>
  <c r="B5" i="48"/>
  <c r="B4" i="48"/>
  <c r="N33" i="47"/>
  <c r="N32" i="47"/>
  <c r="N31" i="47"/>
  <c r="N30" i="47"/>
  <c r="N29" i="47"/>
  <c r="E27" i="47"/>
  <c r="D26" i="47"/>
  <c r="B21" i="47"/>
  <c r="B20" i="47"/>
  <c r="B19" i="47"/>
  <c r="B18" i="47"/>
  <c r="K17" i="47"/>
  <c r="N16" i="47"/>
  <c r="L16" i="47"/>
  <c r="K16" i="47"/>
  <c r="J16" i="47"/>
  <c r="E16" i="47"/>
  <c r="B16" i="47"/>
  <c r="K15" i="47"/>
  <c r="I15" i="47"/>
  <c r="L14" i="47"/>
  <c r="J14" i="47"/>
  <c r="I14" i="47"/>
  <c r="H13" i="47"/>
  <c r="L12" i="47"/>
  <c r="K12" i="47"/>
  <c r="J12" i="47"/>
  <c r="I12" i="47"/>
  <c r="H12" i="47"/>
  <c r="G12" i="47"/>
  <c r="H11" i="47"/>
  <c r="G11" i="47"/>
  <c r="I10" i="47"/>
  <c r="H10" i="47"/>
  <c r="G10" i="47"/>
  <c r="F10" i="47"/>
  <c r="F9" i="47"/>
  <c r="E9" i="47"/>
  <c r="B9" i="47"/>
  <c r="H8" i="47"/>
  <c r="G8" i="47"/>
  <c r="F8" i="47"/>
  <c r="B8" i="47"/>
  <c r="F7" i="47"/>
  <c r="F6" i="47"/>
  <c r="E6" i="47"/>
  <c r="F5" i="47"/>
  <c r="H4" i="47"/>
  <c r="G4" i="47"/>
  <c r="F4" i="47"/>
  <c r="D4" i="47"/>
  <c r="B4" i="47"/>
  <c r="D19" i="46"/>
  <c r="D13" i="46"/>
  <c r="D11" i="46"/>
  <c r="D10" i="46"/>
  <c r="C10" i="46"/>
  <c r="D9" i="46"/>
  <c r="C9" i="46"/>
  <c r="B8" i="46"/>
  <c r="B7" i="46"/>
  <c r="B6" i="46"/>
  <c r="B5" i="46"/>
  <c r="B4" i="46"/>
  <c r="J33" i="45"/>
  <c r="J32" i="45"/>
  <c r="J31" i="45"/>
  <c r="G28" i="45"/>
  <c r="J27" i="45"/>
  <c r="J26" i="45"/>
  <c r="H26" i="45"/>
  <c r="G25" i="45"/>
  <c r="F25" i="45"/>
  <c r="E25" i="45"/>
  <c r="E24" i="45"/>
  <c r="E23" i="45"/>
  <c r="J22" i="45"/>
  <c r="G22" i="45"/>
  <c r="F22" i="45"/>
  <c r="E22" i="45"/>
  <c r="D21" i="45"/>
  <c r="J20" i="45"/>
  <c r="D20" i="45"/>
  <c r="J19" i="45"/>
  <c r="F19" i="45"/>
  <c r="D19" i="45"/>
  <c r="B19" i="45"/>
  <c r="D18" i="45"/>
  <c r="D17" i="45"/>
  <c r="H16" i="45"/>
  <c r="D16" i="45"/>
  <c r="J15" i="45"/>
  <c r="F15" i="45"/>
  <c r="C15" i="45"/>
  <c r="D14" i="45"/>
  <c r="C14" i="45"/>
  <c r="D13" i="45"/>
  <c r="C13" i="45"/>
  <c r="B13" i="45"/>
  <c r="H12" i="45"/>
  <c r="G12" i="45"/>
  <c r="C12" i="45"/>
  <c r="C11" i="45"/>
  <c r="C10" i="45"/>
  <c r="D9" i="45"/>
  <c r="C9" i="45"/>
  <c r="C8" i="45"/>
  <c r="C7" i="45"/>
  <c r="H6" i="45"/>
  <c r="F6" i="45"/>
  <c r="E6" i="45"/>
  <c r="D6" i="45"/>
  <c r="C6" i="45"/>
  <c r="J5" i="45"/>
  <c r="F5" i="45"/>
  <c r="E5" i="45"/>
  <c r="D5" i="45"/>
  <c r="C5" i="45"/>
  <c r="B5" i="45"/>
  <c r="C4" i="45"/>
  <c r="B4" i="45"/>
  <c r="J1" i="45"/>
  <c r="B8" i="44"/>
  <c r="B7" i="44"/>
  <c r="B6" i="44"/>
  <c r="B5" i="44"/>
  <c r="B4" i="44"/>
  <c r="B16" i="43"/>
  <c r="B15" i="43"/>
  <c r="D14" i="43"/>
  <c r="D13" i="43"/>
  <c r="B13" i="43"/>
  <c r="D12" i="43"/>
  <c r="D11" i="43"/>
  <c r="D10" i="43"/>
  <c r="D9" i="43"/>
  <c r="C9" i="43"/>
  <c r="B9" i="43"/>
  <c r="C8" i="43"/>
  <c r="B8" i="43"/>
  <c r="D7" i="43"/>
  <c r="C7" i="43"/>
  <c r="B7" i="43"/>
  <c r="C6" i="43"/>
  <c r="C5" i="43"/>
  <c r="C4" i="43"/>
  <c r="B17" i="42"/>
  <c r="B16" i="42"/>
  <c r="B15" i="42"/>
  <c r="B14" i="42"/>
  <c r="B13" i="42"/>
  <c r="B12" i="42"/>
  <c r="C11" i="42"/>
  <c r="D10" i="42"/>
  <c r="C10" i="42"/>
  <c r="D9" i="42"/>
  <c r="C9" i="42"/>
  <c r="D8" i="42"/>
  <c r="C8" i="42"/>
  <c r="B8" i="42"/>
  <c r="D7" i="42"/>
  <c r="C7" i="42"/>
  <c r="D6" i="42"/>
  <c r="C6" i="42"/>
  <c r="D5" i="42"/>
  <c r="C5" i="42"/>
  <c r="D4" i="42"/>
  <c r="C4" i="42"/>
  <c r="C11" i="41"/>
  <c r="D10" i="41"/>
  <c r="C10" i="41"/>
  <c r="D9" i="41"/>
  <c r="C9" i="41"/>
  <c r="D6" i="41"/>
  <c r="C6" i="41"/>
  <c r="D5" i="41"/>
  <c r="E19" i="40"/>
  <c r="E18" i="40"/>
  <c r="E17" i="40"/>
  <c r="E16" i="40"/>
  <c r="D15" i="40"/>
  <c r="D14" i="40"/>
  <c r="E13" i="40"/>
  <c r="D13" i="40"/>
  <c r="C12" i="40"/>
  <c r="C11" i="40"/>
  <c r="E10" i="40"/>
  <c r="C10" i="40"/>
  <c r="E9" i="40"/>
  <c r="C9" i="40"/>
  <c r="C8" i="40"/>
  <c r="E7" i="40"/>
  <c r="D7" i="40"/>
  <c r="C7" i="40"/>
  <c r="B6" i="40"/>
  <c r="B5" i="40"/>
  <c r="B4" i="40"/>
  <c r="D28" i="39"/>
  <c r="D27" i="39"/>
  <c r="D26" i="39"/>
  <c r="C25" i="39"/>
  <c r="C24" i="39"/>
  <c r="D23" i="39"/>
  <c r="C23" i="39"/>
  <c r="B23" i="39"/>
  <c r="B22" i="39"/>
  <c r="K21" i="39"/>
  <c r="E21" i="39"/>
  <c r="J20" i="39"/>
  <c r="J19" i="39"/>
  <c r="B19" i="39"/>
  <c r="J18" i="39"/>
  <c r="J17" i="39"/>
  <c r="I16" i="39"/>
  <c r="I15" i="39"/>
  <c r="H14" i="39"/>
  <c r="E14" i="39"/>
  <c r="D14" i="39"/>
  <c r="C14" i="39"/>
  <c r="H13" i="39"/>
  <c r="D13" i="39"/>
  <c r="H12" i="39"/>
  <c r="H11" i="39"/>
  <c r="J10" i="39"/>
  <c r="H10" i="39"/>
  <c r="B10" i="39"/>
  <c r="G9" i="39"/>
  <c r="K8" i="39"/>
  <c r="J8" i="39"/>
  <c r="I8" i="39"/>
  <c r="H8" i="39"/>
  <c r="G8" i="39"/>
  <c r="F8" i="39"/>
  <c r="E8" i="39"/>
  <c r="D8" i="39"/>
  <c r="C8" i="39"/>
  <c r="B8" i="39"/>
  <c r="I7" i="39"/>
  <c r="H7" i="39"/>
  <c r="G7" i="39"/>
  <c r="F7" i="39"/>
  <c r="C7" i="39"/>
  <c r="B7" i="39"/>
  <c r="F6" i="39"/>
  <c r="F5" i="39"/>
  <c r="K4" i="39"/>
  <c r="I4" i="39"/>
  <c r="G4" i="39"/>
  <c r="F4" i="39"/>
  <c r="E4" i="39"/>
  <c r="D4" i="39"/>
  <c r="C4" i="39"/>
  <c r="D17" i="38"/>
  <c r="D16" i="38"/>
  <c r="D15" i="38"/>
  <c r="D14" i="38"/>
  <c r="B7" i="38"/>
  <c r="B6" i="38"/>
  <c r="B5" i="38"/>
  <c r="B4" i="38"/>
  <c r="F23" i="37"/>
  <c r="F22" i="37"/>
  <c r="F21" i="37"/>
  <c r="F20" i="37"/>
  <c r="E20" i="37"/>
  <c r="E19" i="37"/>
  <c r="E18" i="37"/>
  <c r="D18" i="37"/>
  <c r="E17" i="37"/>
  <c r="D17" i="37"/>
  <c r="D16" i="37"/>
  <c r="D15" i="37"/>
  <c r="D14" i="37"/>
  <c r="D13" i="37"/>
  <c r="C12" i="37"/>
  <c r="C11" i="37"/>
  <c r="F10" i="37"/>
  <c r="C10" i="37"/>
  <c r="F9" i="37"/>
  <c r="E9" i="37"/>
  <c r="C9" i="37"/>
  <c r="F8" i="37"/>
  <c r="E8" i="37"/>
  <c r="D8" i="37"/>
  <c r="B8" i="37"/>
  <c r="E7" i="37"/>
  <c r="D7" i="37"/>
  <c r="C7" i="37"/>
  <c r="B7" i="37"/>
  <c r="B6" i="37"/>
  <c r="C5" i="37"/>
  <c r="B5" i="37"/>
  <c r="D4" i="37"/>
  <c r="B4" i="37"/>
  <c r="B13" i="36"/>
  <c r="B12" i="36"/>
  <c r="B11" i="36"/>
  <c r="D10" i="36"/>
  <c r="C10" i="36"/>
  <c r="D9" i="36"/>
  <c r="C9" i="36"/>
  <c r="B9" i="36"/>
  <c r="D8" i="36"/>
  <c r="C8" i="36"/>
  <c r="C7" i="36"/>
  <c r="D6" i="36"/>
  <c r="C6" i="36"/>
  <c r="D5" i="36"/>
  <c r="C5" i="36"/>
  <c r="D4" i="36"/>
  <c r="C4" i="36"/>
  <c r="C25" i="35"/>
  <c r="C24" i="35"/>
  <c r="B23" i="35"/>
  <c r="B22" i="35"/>
  <c r="B21" i="35"/>
  <c r="G20" i="35"/>
  <c r="G19" i="35"/>
  <c r="G18" i="35"/>
  <c r="G17" i="35"/>
  <c r="F16" i="35"/>
  <c r="F15" i="35"/>
  <c r="F14" i="35"/>
  <c r="E13" i="35"/>
  <c r="E12" i="35"/>
  <c r="E11" i="35"/>
  <c r="C11" i="35"/>
  <c r="D10" i="35"/>
  <c r="D9" i="35"/>
  <c r="F8" i="35"/>
  <c r="D8" i="35"/>
  <c r="G7" i="35"/>
  <c r="D7" i="35"/>
  <c r="G6" i="35"/>
  <c r="F6" i="35"/>
  <c r="E6" i="35"/>
  <c r="D6" i="35"/>
  <c r="C6" i="35"/>
  <c r="B6" i="35"/>
  <c r="D5" i="35"/>
  <c r="B5" i="35"/>
  <c r="G4" i="35"/>
  <c r="F4" i="35"/>
  <c r="E4" i="35"/>
  <c r="D4" i="35"/>
  <c r="B13" i="34"/>
  <c r="B12" i="34"/>
  <c r="D11" i="34"/>
  <c r="B11" i="34"/>
  <c r="D10" i="34"/>
  <c r="B10" i="34"/>
  <c r="D9" i="34"/>
  <c r="D8" i="34"/>
  <c r="C8" i="34"/>
  <c r="B8" i="34"/>
  <c r="C7" i="34"/>
  <c r="B7" i="34"/>
  <c r="C6" i="34"/>
  <c r="C5" i="34"/>
  <c r="C4" i="34"/>
  <c r="G23" i="33"/>
  <c r="G22" i="33"/>
  <c r="G21" i="33"/>
  <c r="F20" i="33"/>
  <c r="C20" i="33"/>
  <c r="F19" i="33"/>
  <c r="E19" i="33"/>
  <c r="C19" i="33"/>
  <c r="F18" i="33"/>
  <c r="E18" i="33"/>
  <c r="C18" i="33"/>
  <c r="F17" i="33"/>
  <c r="C17" i="33"/>
  <c r="F16" i="33"/>
  <c r="E16" i="33"/>
  <c r="G15" i="33"/>
  <c r="F15" i="33"/>
  <c r="E15" i="33"/>
  <c r="C15" i="33"/>
  <c r="F14" i="33"/>
  <c r="E14" i="33"/>
  <c r="G13" i="33"/>
  <c r="F13" i="33"/>
  <c r="E13" i="33"/>
  <c r="D12" i="33"/>
  <c r="B12" i="33"/>
  <c r="G11" i="33"/>
  <c r="D11" i="33"/>
  <c r="B11" i="33"/>
  <c r="D10" i="33"/>
  <c r="B10" i="33"/>
  <c r="G9" i="33"/>
  <c r="D9" i="33"/>
  <c r="C9" i="33"/>
  <c r="B9" i="33"/>
  <c r="G8" i="33"/>
  <c r="F8" i="33"/>
  <c r="E8" i="33"/>
  <c r="D8" i="33"/>
  <c r="B8" i="33"/>
  <c r="G7" i="33"/>
  <c r="D7" i="33"/>
  <c r="D6" i="33"/>
  <c r="B6" i="33"/>
  <c r="D5" i="33"/>
  <c r="D4" i="33"/>
  <c r="B4" i="33"/>
  <c r="L26" i="32"/>
  <c r="B25" i="32"/>
  <c r="B24" i="32"/>
  <c r="B23" i="32"/>
  <c r="J22" i="32"/>
  <c r="G21" i="32"/>
  <c r="D20" i="32"/>
  <c r="G19" i="32"/>
  <c r="D19" i="32"/>
  <c r="L18" i="32"/>
  <c r="J18" i="32"/>
  <c r="I18" i="32"/>
  <c r="B18" i="32"/>
  <c r="H17" i="32"/>
  <c r="J16" i="32"/>
  <c r="E15" i="32"/>
  <c r="L14" i="32"/>
  <c r="I14" i="32"/>
  <c r="J13" i="32"/>
  <c r="F13" i="32"/>
  <c r="E13" i="32"/>
  <c r="C13" i="32"/>
  <c r="B13" i="32"/>
  <c r="E12" i="32"/>
  <c r="I11" i="32"/>
  <c r="F11" i="32"/>
  <c r="E11" i="32"/>
  <c r="L10" i="32"/>
  <c r="F10" i="32"/>
  <c r="E10" i="32"/>
  <c r="D9" i="32"/>
  <c r="H8" i="32"/>
  <c r="F8" i="32"/>
  <c r="D8" i="32"/>
  <c r="C8" i="32"/>
  <c r="F7" i="32"/>
  <c r="E6" i="32"/>
  <c r="C6" i="32"/>
  <c r="F5" i="32"/>
  <c r="L4" i="32"/>
  <c r="J4" i="32"/>
  <c r="I4" i="32"/>
  <c r="H4" i="32"/>
  <c r="G4" i="32"/>
  <c r="E4" i="32"/>
  <c r="D4" i="32"/>
  <c r="B22" i="31"/>
  <c r="G21" i="31"/>
  <c r="G20" i="31"/>
  <c r="G19" i="31"/>
  <c r="C19" i="31"/>
  <c r="F18" i="31"/>
  <c r="C18" i="31"/>
  <c r="B18" i="31"/>
  <c r="G17" i="31"/>
  <c r="F17" i="31"/>
  <c r="C17" i="31"/>
  <c r="G16" i="31"/>
  <c r="F16" i="31"/>
  <c r="E16" i="31"/>
  <c r="C16" i="31"/>
  <c r="B16" i="31"/>
  <c r="E15" i="31"/>
  <c r="C15" i="31"/>
  <c r="F14" i="31"/>
  <c r="E14" i="31"/>
  <c r="B14" i="31"/>
  <c r="F13" i="31"/>
  <c r="E13" i="31"/>
  <c r="B13" i="31"/>
  <c r="G12" i="31"/>
  <c r="E12" i="31"/>
  <c r="E11" i="31"/>
  <c r="D10" i="31"/>
  <c r="D9" i="31"/>
  <c r="D8" i="31"/>
  <c r="B8" i="31"/>
  <c r="D7" i="31"/>
  <c r="D6" i="31"/>
  <c r="D5" i="31"/>
  <c r="D4" i="31"/>
  <c r="B4" i="31"/>
  <c r="F22" i="30"/>
  <c r="F21" i="30"/>
  <c r="C20" i="30"/>
  <c r="F19" i="30"/>
  <c r="C19" i="30"/>
  <c r="C18" i="30"/>
  <c r="F17" i="30"/>
  <c r="C17" i="30"/>
  <c r="C16" i="30"/>
  <c r="B15" i="30"/>
  <c r="B14" i="30"/>
  <c r="F13" i="30"/>
  <c r="B13" i="30"/>
  <c r="E12" i="30"/>
  <c r="C12" i="30"/>
  <c r="E11" i="30"/>
  <c r="E10" i="30"/>
  <c r="D9" i="30"/>
  <c r="C9" i="30"/>
  <c r="E8" i="30"/>
  <c r="D8" i="30"/>
  <c r="E7" i="30"/>
  <c r="D7" i="30"/>
  <c r="E6" i="30"/>
  <c r="D6" i="30"/>
  <c r="D5" i="30"/>
  <c r="B5" i="30"/>
  <c r="D4" i="30"/>
  <c r="C21" i="29"/>
  <c r="C20" i="29"/>
  <c r="C19" i="29"/>
  <c r="C18" i="29"/>
  <c r="C17" i="29"/>
  <c r="C16" i="29"/>
  <c r="B15" i="29"/>
  <c r="C14" i="29"/>
  <c r="B14" i="29"/>
  <c r="F13" i="29"/>
  <c r="B13" i="29"/>
  <c r="E12" i="29"/>
  <c r="E11" i="29"/>
  <c r="E10" i="29"/>
  <c r="E9" i="29"/>
  <c r="B9" i="29"/>
  <c r="E8" i="29"/>
  <c r="E7" i="29"/>
  <c r="F6" i="29"/>
  <c r="D6" i="29"/>
  <c r="C6" i="29"/>
  <c r="D5" i="29"/>
  <c r="B5" i="29"/>
  <c r="D4" i="29"/>
  <c r="D12" i="28"/>
  <c r="D11" i="28"/>
  <c r="D10" i="28"/>
  <c r="D9" i="28"/>
  <c r="B8" i="28"/>
  <c r="D7" i="28"/>
  <c r="C7" i="28"/>
  <c r="B7" i="28"/>
  <c r="B6" i="28"/>
  <c r="C5" i="28"/>
  <c r="B5" i="28"/>
  <c r="B4" i="28"/>
  <c r="D25" i="27"/>
  <c r="D24" i="27"/>
  <c r="C23" i="27"/>
  <c r="C22" i="27"/>
  <c r="C21" i="27"/>
  <c r="B20" i="27"/>
  <c r="B19" i="27"/>
  <c r="B18" i="27"/>
  <c r="G17" i="27"/>
  <c r="G16" i="27"/>
  <c r="G15" i="27"/>
  <c r="G14" i="27"/>
  <c r="F14" i="27"/>
  <c r="F13" i="27"/>
  <c r="E12" i="27"/>
  <c r="E11" i="27"/>
  <c r="E10" i="27"/>
  <c r="E9" i="27"/>
  <c r="E8" i="27"/>
  <c r="E7" i="27"/>
  <c r="E6" i="27"/>
  <c r="C6" i="27"/>
  <c r="E5" i="27"/>
  <c r="C5" i="27"/>
  <c r="B5" i="27"/>
  <c r="G4" i="27"/>
  <c r="F4" i="27"/>
  <c r="E4" i="27"/>
  <c r="G29" i="26"/>
  <c r="G28" i="26"/>
  <c r="G27" i="26"/>
  <c r="B26" i="26"/>
  <c r="G25" i="26"/>
  <c r="B25" i="26"/>
  <c r="G24" i="26"/>
  <c r="B24" i="26"/>
  <c r="B23" i="26"/>
  <c r="B22" i="26"/>
  <c r="B21" i="26"/>
  <c r="G20" i="26"/>
  <c r="F20" i="26"/>
  <c r="B20" i="26"/>
  <c r="F19" i="26"/>
  <c r="F18" i="26"/>
  <c r="F17" i="26"/>
  <c r="F16" i="26"/>
  <c r="E15" i="26"/>
  <c r="E14" i="26"/>
  <c r="E13" i="26"/>
  <c r="E12" i="26"/>
  <c r="G11" i="26"/>
  <c r="E11" i="26"/>
  <c r="B11" i="26"/>
  <c r="D10" i="26"/>
  <c r="D9" i="26"/>
  <c r="D8" i="26"/>
  <c r="D7" i="26"/>
  <c r="F6" i="26"/>
  <c r="C6" i="26"/>
  <c r="C5" i="26"/>
  <c r="C4" i="26"/>
  <c r="G1" i="26"/>
  <c r="E12" i="25"/>
  <c r="E11" i="25"/>
  <c r="E10" i="25"/>
  <c r="D9" i="25"/>
  <c r="E8" i="25"/>
  <c r="D8" i="25"/>
  <c r="C7" i="25"/>
  <c r="C6" i="25"/>
  <c r="C5" i="25"/>
  <c r="B5" i="25"/>
  <c r="B4" i="25"/>
  <c r="F16" i="24"/>
  <c r="E15" i="24"/>
  <c r="E14" i="24"/>
  <c r="E13" i="24"/>
  <c r="G12" i="24"/>
  <c r="F12" i="24"/>
  <c r="D12" i="24"/>
  <c r="C11" i="24"/>
  <c r="C10" i="24"/>
  <c r="C9" i="24"/>
  <c r="G8" i="24"/>
  <c r="F8" i="24"/>
  <c r="D8" i="24"/>
  <c r="B8" i="24"/>
  <c r="G7" i="24"/>
  <c r="F7" i="24"/>
  <c r="C7" i="24"/>
  <c r="B7" i="24"/>
  <c r="G6" i="24"/>
  <c r="F6" i="24"/>
  <c r="E6" i="24"/>
  <c r="D6" i="24"/>
  <c r="C6" i="24"/>
  <c r="B6" i="24"/>
  <c r="E5" i="24"/>
  <c r="B5" i="24"/>
  <c r="G4" i="24"/>
  <c r="F4" i="24"/>
  <c r="E4" i="24"/>
  <c r="D4" i="24"/>
  <c r="C4" i="24"/>
  <c r="B4" i="24"/>
  <c r="D12" i="23"/>
  <c r="D10" i="23"/>
  <c r="B8" i="23"/>
  <c r="D7" i="23"/>
  <c r="B7" i="23"/>
  <c r="B6" i="23"/>
  <c r="D5" i="23"/>
  <c r="B5" i="23"/>
  <c r="B4" i="23"/>
  <c r="B18" i="22"/>
  <c r="B17" i="22"/>
  <c r="B16" i="22"/>
  <c r="B15" i="22"/>
  <c r="E14" i="22"/>
  <c r="E13" i="22"/>
  <c r="E12" i="22"/>
  <c r="E11" i="22"/>
  <c r="D10" i="22"/>
  <c r="D9" i="22"/>
  <c r="D8" i="22"/>
  <c r="D7" i="22"/>
  <c r="C6" i="22"/>
  <c r="C5" i="22"/>
  <c r="E4" i="22"/>
  <c r="C4" i="22"/>
  <c r="B4" i="22"/>
  <c r="B7" i="21"/>
  <c r="D6" i="21"/>
  <c r="B4" i="21"/>
  <c r="J11" i="20"/>
  <c r="J10" i="20"/>
  <c r="J7" i="20"/>
  <c r="I7" i="20"/>
  <c r="G7" i="20"/>
  <c r="H6" i="20"/>
  <c r="G6" i="20"/>
  <c r="E5" i="20"/>
  <c r="B5" i="20"/>
  <c r="J4" i="20"/>
  <c r="I4" i="20"/>
  <c r="H4" i="20"/>
  <c r="G4" i="20"/>
  <c r="E4" i="20"/>
  <c r="B4" i="20"/>
  <c r="B12" i="19"/>
  <c r="D11" i="19"/>
  <c r="B11" i="19"/>
  <c r="D10" i="19"/>
  <c r="B10" i="19"/>
  <c r="D9" i="19"/>
  <c r="C8" i="19"/>
  <c r="D7" i="19"/>
  <c r="C7" i="19"/>
  <c r="B7" i="19"/>
  <c r="C6" i="19"/>
  <c r="D5" i="19"/>
  <c r="C5" i="19"/>
  <c r="C4" i="19"/>
  <c r="C9" i="18"/>
  <c r="C8" i="18"/>
  <c r="E7" i="18"/>
  <c r="E6" i="18"/>
  <c r="B6" i="18"/>
  <c r="E5" i="18"/>
  <c r="D5" i="18"/>
  <c r="C5" i="18"/>
  <c r="B5" i="18"/>
  <c r="E4" i="18"/>
  <c r="D4" i="18"/>
  <c r="G13" i="17"/>
  <c r="G11" i="17"/>
  <c r="F11" i="17"/>
  <c r="E11" i="17"/>
  <c r="D11" i="17"/>
  <c r="D10" i="17"/>
  <c r="C9" i="17"/>
  <c r="C8" i="17"/>
  <c r="G7" i="17"/>
  <c r="E7" i="17"/>
  <c r="C7" i="17"/>
  <c r="G6" i="17"/>
  <c r="B6" i="17"/>
  <c r="G5" i="17"/>
  <c r="F5" i="17"/>
  <c r="D5" i="17"/>
  <c r="B5" i="17"/>
  <c r="G4" i="17"/>
  <c r="F4" i="17"/>
  <c r="E4" i="17"/>
  <c r="D4" i="17"/>
  <c r="C4" i="17"/>
  <c r="B4" i="17"/>
  <c r="B10" i="16"/>
  <c r="B9" i="16"/>
  <c r="D8" i="16"/>
  <c r="D7" i="16"/>
  <c r="E6" i="16"/>
  <c r="D6" i="16"/>
  <c r="C6" i="16"/>
  <c r="E5" i="16"/>
  <c r="D5" i="16"/>
  <c r="C5" i="16"/>
  <c r="B5" i="16"/>
  <c r="E4" i="16"/>
  <c r="D4" i="16"/>
  <c r="C4" i="16"/>
  <c r="C12" i="15"/>
  <c r="C11" i="15"/>
  <c r="C10" i="15"/>
  <c r="C9" i="15"/>
  <c r="G8" i="15"/>
  <c r="F8" i="15"/>
  <c r="D8" i="15"/>
  <c r="B8" i="15"/>
  <c r="E7" i="15"/>
  <c r="E6" i="15"/>
  <c r="E5" i="15"/>
  <c r="G4" i="15"/>
  <c r="F4" i="15"/>
  <c r="E4" i="15"/>
  <c r="D4" i="15"/>
  <c r="C4" i="15"/>
  <c r="B4" i="15"/>
  <c r="K21" i="14"/>
  <c r="K20" i="14"/>
  <c r="D18" i="14"/>
  <c r="D17" i="14"/>
  <c r="C16" i="14"/>
  <c r="C15" i="14"/>
  <c r="D14" i="14"/>
  <c r="C14" i="14"/>
  <c r="B14" i="14"/>
  <c r="B13" i="14"/>
  <c r="B12" i="14"/>
  <c r="G11" i="14"/>
  <c r="E11" i="14"/>
  <c r="I10" i="14"/>
  <c r="H10" i="14"/>
  <c r="G10" i="14"/>
  <c r="E10" i="14"/>
  <c r="B10" i="14"/>
  <c r="G9" i="14"/>
  <c r="E9" i="14"/>
  <c r="I8" i="14"/>
  <c r="H8" i="14"/>
  <c r="G8" i="14"/>
  <c r="F8" i="14"/>
  <c r="E8" i="14"/>
  <c r="D8" i="14"/>
  <c r="F7" i="14"/>
  <c r="F6" i="14"/>
  <c r="K5" i="14"/>
  <c r="I5" i="14"/>
  <c r="H5" i="14"/>
  <c r="G5" i="14"/>
  <c r="F5" i="14"/>
  <c r="E5" i="14"/>
  <c r="D5" i="14"/>
  <c r="C5" i="14"/>
  <c r="B5" i="14"/>
  <c r="K4" i="14"/>
  <c r="I4" i="14"/>
  <c r="H4" i="14"/>
  <c r="G4" i="14"/>
  <c r="F4" i="14"/>
  <c r="E4" i="14"/>
  <c r="D4" i="14"/>
  <c r="B4" i="14"/>
  <c r="E9" i="13"/>
  <c r="D8" i="13"/>
  <c r="E7" i="13"/>
  <c r="C7" i="13"/>
  <c r="E6" i="13"/>
  <c r="C6" i="13"/>
  <c r="B5" i="13"/>
  <c r="E4" i="13"/>
  <c r="D4" i="13"/>
  <c r="C4" i="13"/>
  <c r="B4" i="13"/>
  <c r="B12" i="12"/>
  <c r="B11" i="12"/>
  <c r="B10" i="12"/>
  <c r="C9" i="12"/>
  <c r="C8" i="12"/>
  <c r="B8" i="12"/>
  <c r="C7" i="12"/>
  <c r="C6" i="12"/>
  <c r="C5" i="12"/>
  <c r="B5" i="12"/>
  <c r="C4" i="12"/>
  <c r="B14" i="11"/>
  <c r="G13" i="11"/>
  <c r="I12" i="11"/>
  <c r="G12" i="11"/>
  <c r="F11" i="11"/>
  <c r="E11" i="11"/>
  <c r="F10" i="11"/>
  <c r="F9" i="11"/>
  <c r="E8" i="11"/>
  <c r="G7" i="11"/>
  <c r="I6" i="11"/>
  <c r="H6" i="11"/>
  <c r="G6" i="11"/>
  <c r="F6" i="11"/>
  <c r="E6" i="11"/>
  <c r="B6" i="11"/>
  <c r="I5" i="11"/>
  <c r="H5" i="11"/>
  <c r="G5" i="11"/>
  <c r="B5" i="11"/>
  <c r="H4" i="11"/>
  <c r="F4" i="11"/>
  <c r="B4" i="11"/>
  <c r="J22" i="10"/>
  <c r="J20" i="10"/>
  <c r="B18" i="10"/>
  <c r="B17" i="10"/>
  <c r="H16" i="10"/>
  <c r="G15" i="10"/>
  <c r="F14" i="10"/>
  <c r="C14" i="10"/>
  <c r="F13" i="10"/>
  <c r="B13" i="10"/>
  <c r="H12" i="10"/>
  <c r="G12" i="10"/>
  <c r="E12" i="10"/>
  <c r="C12" i="10"/>
  <c r="H11" i="10"/>
  <c r="E11" i="10"/>
  <c r="H10" i="10"/>
  <c r="E10" i="10"/>
  <c r="D9" i="10"/>
  <c r="D8" i="10"/>
  <c r="B8" i="10"/>
  <c r="D7" i="10"/>
  <c r="G6" i="10"/>
  <c r="E6" i="10"/>
  <c r="D6" i="10"/>
  <c r="C6" i="10"/>
  <c r="G5" i="10"/>
  <c r="F5" i="10"/>
  <c r="E5" i="10"/>
  <c r="D5" i="10"/>
  <c r="B5" i="10"/>
  <c r="J4" i="10"/>
  <c r="H4" i="10"/>
  <c r="G4" i="10"/>
  <c r="E4" i="10"/>
  <c r="C4" i="10"/>
  <c r="B4" i="10"/>
  <c r="B12" i="9"/>
  <c r="B11" i="9"/>
  <c r="F10" i="9"/>
  <c r="F9" i="9"/>
  <c r="E8" i="9"/>
  <c r="E7" i="9"/>
  <c r="F6" i="9"/>
  <c r="D6" i="9"/>
  <c r="C6" i="9"/>
  <c r="B6" i="9"/>
  <c r="D5" i="9"/>
  <c r="C5" i="9"/>
  <c r="F4" i="9"/>
  <c r="E4" i="9"/>
  <c r="C4" i="9"/>
  <c r="F9" i="8"/>
  <c r="E8" i="8"/>
  <c r="D7" i="8"/>
  <c r="D6" i="8"/>
  <c r="F5" i="8"/>
  <c r="C5" i="8"/>
  <c r="F4" i="8"/>
  <c r="E4" i="8"/>
  <c r="D4" i="8"/>
  <c r="C4" i="8"/>
  <c r="C9" i="7"/>
  <c r="B8" i="7"/>
  <c r="F7" i="7"/>
  <c r="F6" i="7"/>
  <c r="D5" i="7"/>
  <c r="C5" i="7"/>
  <c r="F4" i="7"/>
  <c r="D4" i="7"/>
  <c r="C4" i="7"/>
  <c r="B4" i="7"/>
  <c r="C11" i="6"/>
  <c r="B10" i="6"/>
  <c r="C9" i="6"/>
  <c r="B9" i="6"/>
  <c r="B8" i="6"/>
  <c r="E7" i="6"/>
  <c r="D7" i="6"/>
  <c r="E6" i="6"/>
  <c r="D6" i="6"/>
  <c r="E5" i="6"/>
  <c r="D5" i="6"/>
  <c r="E4" i="6"/>
  <c r="D4" i="6"/>
  <c r="C4" i="6"/>
  <c r="D9" i="5"/>
  <c r="D8" i="5"/>
  <c r="D7" i="5"/>
  <c r="D6" i="5"/>
  <c r="C6" i="5"/>
  <c r="C5" i="5"/>
  <c r="D10" i="4"/>
  <c r="C9" i="4"/>
  <c r="C8" i="4"/>
  <c r="B7" i="4"/>
  <c r="C6" i="4"/>
  <c r="B5" i="4"/>
  <c r="D4" i="4"/>
  <c r="C4" i="4"/>
  <c r="B4" i="4"/>
  <c r="C11" i="3"/>
  <c r="C10" i="3"/>
  <c r="B9" i="3"/>
  <c r="C8" i="3"/>
  <c r="B8" i="3"/>
  <c r="H7" i="3"/>
  <c r="G7" i="3"/>
  <c r="F7" i="3"/>
  <c r="D7" i="3"/>
  <c r="C6" i="3"/>
  <c r="I5" i="3"/>
  <c r="F5" i="3"/>
  <c r="D5" i="3"/>
  <c r="B5" i="3"/>
  <c r="H4" i="3"/>
  <c r="G4" i="3"/>
  <c r="A2" i="2"/>
  <c r="I37" i="1"/>
  <c r="J36" i="1"/>
  <c r="J35" i="1"/>
  <c r="J34" i="1"/>
  <c r="F33" i="1"/>
  <c r="F32" i="1"/>
  <c r="J31" i="1"/>
  <c r="F31" i="1"/>
  <c r="B31" i="1"/>
  <c r="B30" i="1"/>
  <c r="I29" i="1"/>
  <c r="F29" i="1"/>
  <c r="B29" i="1"/>
  <c r="J28" i="1"/>
  <c r="F28" i="1"/>
  <c r="J27" i="1"/>
  <c r="F27" i="1"/>
  <c r="B27" i="1"/>
  <c r="J26" i="1"/>
  <c r="F26" i="1"/>
  <c r="B26" i="1"/>
  <c r="F25" i="1"/>
  <c r="B25" i="1"/>
  <c r="J24" i="1"/>
  <c r="F24" i="1"/>
  <c r="B24" i="1"/>
  <c r="J23" i="1"/>
  <c r="J22" i="1"/>
  <c r="F22" i="1"/>
  <c r="B22" i="1"/>
  <c r="J21" i="1"/>
  <c r="F21" i="1"/>
  <c r="B21" i="1"/>
  <c r="J20" i="1"/>
  <c r="F20" i="1"/>
  <c r="B19" i="1"/>
  <c r="J18" i="1"/>
  <c r="F18" i="1"/>
  <c r="J17" i="1"/>
  <c r="F17" i="1"/>
  <c r="B17" i="1"/>
  <c r="J16" i="1"/>
  <c r="F16" i="1"/>
  <c r="B16" i="1"/>
  <c r="B15" i="1"/>
  <c r="J14" i="1"/>
  <c r="F14" i="1"/>
  <c r="J13" i="1"/>
  <c r="F13" i="1"/>
  <c r="B13" i="1"/>
  <c r="F12" i="1"/>
  <c r="B12" i="1"/>
  <c r="J11" i="1"/>
  <c r="J10" i="1"/>
  <c r="F10" i="1"/>
  <c r="B10" i="1"/>
  <c r="J9" i="1"/>
  <c r="B9" i="1"/>
  <c r="F8" i="1"/>
  <c r="B8" i="1"/>
  <c r="J7" i="1"/>
  <c r="F7" i="1"/>
  <c r="F6" i="1"/>
  <c r="B6" i="1"/>
  <c r="J5" i="1"/>
  <c r="B5" i="1"/>
  <c r="J4" i="1"/>
  <c r="F4" i="1"/>
  <c r="F3" i="1"/>
  <c r="B3" i="1"/>
  <c r="J2" i="1"/>
  <c r="F2" i="1"/>
  <c r="B2" i="1"/>
</calcChain>
</file>

<file path=xl/sharedStrings.xml><?xml version="1.0" encoding="utf-8"?>
<sst xmlns="http://schemas.openxmlformats.org/spreadsheetml/2006/main" count="3610" uniqueCount="724">
  <si>
    <t>1 Light Lager</t>
  </si>
  <si>
    <t>8. English Pale Ale</t>
  </si>
  <si>
    <t>15. German Wheat and Rye Beer</t>
  </si>
  <si>
    <t>15B. Dunkelweizen</t>
  </si>
  <si>
    <t>1C. Premium American Lager</t>
  </si>
  <si>
    <t>GOLD MEDAL WINNING RECIPES FROM NHC 2000-2015</t>
  </si>
  <si>
    <t>LITE AMERICAN LAGER</t>
  </si>
  <si>
    <t>Notes/Comments:</t>
  </si>
  <si>
    <t>10 extract beers won from 2004-2014</t>
  </si>
  <si>
    <t>4A, 7A, 9B, 17B, 18B, 19B, 19C, 21A (x2), 23</t>
  </si>
  <si>
    <t>Categories with most entries means that style is what normally wins gold</t>
  </si>
  <si>
    <t>All  percentages are by weight.</t>
  </si>
  <si>
    <t>Listed grain by name, not manufacturer (ex. Fawcetts chocolate = briess chocolate)</t>
  </si>
  <si>
    <t>Tried to list more subtle differences (chocolate vs pale chocolate)</t>
  </si>
  <si>
    <t>2 Row</t>
  </si>
  <si>
    <t>STANDARD AMERICAN LAGER</t>
  </si>
  <si>
    <t>6 Row</t>
  </si>
  <si>
    <t>Dextrin</t>
  </si>
  <si>
    <t>9. Scottish and Irish Ale</t>
  </si>
  <si>
    <t>Pilsner</t>
  </si>
  <si>
    <t>Flaked Rice</t>
  </si>
  <si>
    <t>CaraFoam</t>
  </si>
  <si>
    <t>16. Belgian and French Ale</t>
  </si>
  <si>
    <t>2. Pilsner</t>
  </si>
  <si>
    <t>Munich</t>
  </si>
  <si>
    <t>Flaked Corn</t>
  </si>
  <si>
    <t>Rice Syrup</t>
  </si>
  <si>
    <t xml:space="preserve"> </t>
  </si>
  <si>
    <t>FWH</t>
  </si>
  <si>
    <t>16B. Belgian Pale Ale</t>
  </si>
  <si>
    <t>9D. Irish Red Ale</t>
  </si>
  <si>
    <t>60 Min</t>
  </si>
  <si>
    <t>C10</t>
  </si>
  <si>
    <t>Galena, Perle, Crystal, Hallertauer</t>
  </si>
  <si>
    <t>CaraPils</t>
  </si>
  <si>
    <t>3. European Amber Lager</t>
  </si>
  <si>
    <t>Hallertauer</t>
  </si>
  <si>
    <t>10. American Ale</t>
  </si>
  <si>
    <t>Wheat</t>
  </si>
  <si>
    <t>45 Min</t>
  </si>
  <si>
    <t>30 Min</t>
  </si>
  <si>
    <t>15 Min</t>
  </si>
  <si>
    <t>Saaz</t>
  </si>
  <si>
    <t>10 Min</t>
  </si>
  <si>
    <t>5 Min</t>
  </si>
  <si>
    <t>0 Min</t>
  </si>
  <si>
    <t>17. Sour Ale</t>
  </si>
  <si>
    <t>Liberty</t>
  </si>
  <si>
    <t>Tettnanger, Saaz</t>
  </si>
  <si>
    <t>Tettnanger</t>
  </si>
  <si>
    <t>Cluster</t>
  </si>
  <si>
    <t>Mt Hood</t>
  </si>
  <si>
    <t>Dry Hop</t>
  </si>
  <si>
    <t>OG</t>
  </si>
  <si>
    <t>4. Dark Lager</t>
  </si>
  <si>
    <t>FG</t>
  </si>
  <si>
    <t>Mt. Hood</t>
  </si>
  <si>
    <t>Mash Temp (F)</t>
  </si>
  <si>
    <t>Yeast</t>
  </si>
  <si>
    <t>122, 158</t>
  </si>
  <si>
    <t>11. English Brown Ale</t>
  </si>
  <si>
    <t>Cereal Mash</t>
  </si>
  <si>
    <t>17C. Flanders Brown Ale/Oud Bruin</t>
  </si>
  <si>
    <t>5. Bock</t>
  </si>
  <si>
    <t>12. Porter</t>
  </si>
  <si>
    <t>18. Belgian Strong Ale</t>
  </si>
  <si>
    <t>5B. Traditional Bock</t>
  </si>
  <si>
    <t>6. Light Hybrid Beer</t>
  </si>
  <si>
    <t>13. Stout</t>
  </si>
  <si>
    <t>MUNICH HELLES</t>
  </si>
  <si>
    <t>Spitz</t>
  </si>
  <si>
    <t>19. Strong Ale</t>
  </si>
  <si>
    <t>Biscuit</t>
  </si>
  <si>
    <t>7. Amber Hybrid Beer</t>
  </si>
  <si>
    <t>Melanoidin</t>
  </si>
  <si>
    <t>Hersbrucker</t>
  </si>
  <si>
    <t>14. India Pale Ale (IPA)</t>
  </si>
  <si>
    <t>21. Spice/Herb/Vegetable Beer</t>
  </si>
  <si>
    <t>142, 152</t>
  </si>
  <si>
    <t>21B. Christmas/Winter Specialty Spiced Beer</t>
  </si>
  <si>
    <t>22. Smoke-Flavored/Wood-Aged Beer</t>
  </si>
  <si>
    <t>DORTMUNDER EXPORT</t>
  </si>
  <si>
    <t>Vienna</t>
  </si>
  <si>
    <t>Undermodified</t>
  </si>
  <si>
    <t>GERMAN PILSNER</t>
  </si>
  <si>
    <t>20 Min</t>
  </si>
  <si>
    <t>Spalt</t>
  </si>
  <si>
    <t>Ultra</t>
  </si>
  <si>
    <t>Ultra, Saaz</t>
  </si>
  <si>
    <t>Tettnanger, Hallertauer</t>
  </si>
  <si>
    <t>Decoc</t>
  </si>
  <si>
    <t>120, 130, 147, 156</t>
  </si>
  <si>
    <t>Acidulated</t>
  </si>
  <si>
    <t>Caramel Pils</t>
  </si>
  <si>
    <t>Spalt, Hallertauer</t>
  </si>
  <si>
    <t>Sterling</t>
  </si>
  <si>
    <t>90 Min</t>
  </si>
  <si>
    <t>BOHEMIAN PILSNER</t>
  </si>
  <si>
    <t>Magnum</t>
  </si>
  <si>
    <t>Saas</t>
  </si>
  <si>
    <t>Hallertau, Saaz</t>
  </si>
  <si>
    <t>Triple Decoc</t>
  </si>
  <si>
    <t>126, 150</t>
  </si>
  <si>
    <t>Carbone</t>
  </si>
  <si>
    <t>CaraHell</t>
  </si>
  <si>
    <t>CLASSIC AMERICAN PILSNER</t>
  </si>
  <si>
    <t>?</t>
  </si>
  <si>
    <t>122, 148, 155</t>
  </si>
  <si>
    <t>2278, 2124, 820</t>
  </si>
  <si>
    <t>Flaked Maize</t>
  </si>
  <si>
    <t>VIENNA LAGER</t>
  </si>
  <si>
    <t>Acid Malt</t>
  </si>
  <si>
    <t>Pale</t>
  </si>
  <si>
    <t>75 Min</t>
  </si>
  <si>
    <t>Saaz, Willamette</t>
  </si>
  <si>
    <t>Hallertauer, Northern Brewer</t>
  </si>
  <si>
    <t>Saaz, Northern Brewer</t>
  </si>
  <si>
    <t>119, 153</t>
  </si>
  <si>
    <t>Honey Malt</t>
  </si>
  <si>
    <t>C20</t>
  </si>
  <si>
    <t>Carafa</t>
  </si>
  <si>
    <t>OKTOBERFEST/MARZEN</t>
  </si>
  <si>
    <t>Caramel Vienna</t>
  </si>
  <si>
    <t>Caramel Munich</t>
  </si>
  <si>
    <t>Debittered Black</t>
  </si>
  <si>
    <t>Carafa II</t>
  </si>
  <si>
    <t>White Wheat</t>
  </si>
  <si>
    <t>C90</t>
  </si>
  <si>
    <t>C40</t>
  </si>
  <si>
    <t>Carafa III</t>
  </si>
  <si>
    <t>CaraAmber</t>
  </si>
  <si>
    <t>Dark Munich</t>
  </si>
  <si>
    <t>Midnight Wheat</t>
  </si>
  <si>
    <t>Styrian Goldings</t>
  </si>
  <si>
    <t>C60</t>
  </si>
  <si>
    <t>DME</t>
  </si>
  <si>
    <t>Vanguard</t>
  </si>
  <si>
    <t>Crystal</t>
  </si>
  <si>
    <t>Centennial</t>
  </si>
  <si>
    <t>Tettnang</t>
  </si>
  <si>
    <t>Millennium</t>
  </si>
  <si>
    <t>Hallertauer, Hersbrucker</t>
  </si>
  <si>
    <t>Horizon</t>
  </si>
  <si>
    <t>124, 140, 154</t>
  </si>
  <si>
    <t>135, 144, 158</t>
  </si>
  <si>
    <t>95, 134, 155</t>
  </si>
  <si>
    <t>Dbl Decoc</t>
  </si>
  <si>
    <t>127, 155</t>
  </si>
  <si>
    <t>95, 110, 144, 158</t>
  </si>
  <si>
    <t>Decoction</t>
  </si>
  <si>
    <t>DARK AMERICAN LAGER</t>
  </si>
  <si>
    <t>MUNICH DUNKEL</t>
  </si>
  <si>
    <t>Light Extract</t>
  </si>
  <si>
    <t>Pale Chocolate</t>
  </si>
  <si>
    <t>Black Patent</t>
  </si>
  <si>
    <t>Chocolate</t>
  </si>
  <si>
    <t>Munich (10L)</t>
  </si>
  <si>
    <t>Aromatic</t>
  </si>
  <si>
    <t>Perle</t>
  </si>
  <si>
    <t>Trip Decoc</t>
  </si>
  <si>
    <t>130, 143, 154</t>
  </si>
  <si>
    <t>SCHWARZBIER</t>
  </si>
  <si>
    <t>MAIBOCK/HELLES BOCK</t>
  </si>
  <si>
    <t>Mild</t>
  </si>
  <si>
    <t>Victory</t>
  </si>
  <si>
    <t>C120</t>
  </si>
  <si>
    <t>Cafara</t>
  </si>
  <si>
    <t>Flaked Barley</t>
  </si>
  <si>
    <t>DOPPELBOCK</t>
  </si>
  <si>
    <t>Golding</t>
  </si>
  <si>
    <t>Northern Brewer</t>
  </si>
  <si>
    <t>Zatek</t>
  </si>
  <si>
    <t>142, 157</t>
  </si>
  <si>
    <t>EISBOCK</t>
  </si>
  <si>
    <t>Black</t>
  </si>
  <si>
    <t>Flaked Oats</t>
  </si>
  <si>
    <t>Bravo</t>
  </si>
  <si>
    <t>German Tradition</t>
  </si>
  <si>
    <t>CaraAroma</t>
  </si>
  <si>
    <t>Munich II</t>
  </si>
  <si>
    <t>Blackprinz</t>
  </si>
  <si>
    <t>122, 156</t>
  </si>
  <si>
    <t>Mittelfruh</t>
  </si>
  <si>
    <t>CREAM ALE</t>
  </si>
  <si>
    <t>Tettnanger, Mittelfruh</t>
  </si>
  <si>
    <t>Hallertauer, Tettnanger</t>
  </si>
  <si>
    <t>CaraRed</t>
  </si>
  <si>
    <t>124, 150</t>
  </si>
  <si>
    <t>148, 155</t>
  </si>
  <si>
    <t>129, 144, 158</t>
  </si>
  <si>
    <t>S-23</t>
  </si>
  <si>
    <t>Premiant</t>
  </si>
  <si>
    <t>Cane Sugar</t>
  </si>
  <si>
    <t>122, 153</t>
  </si>
  <si>
    <t>BLONDE ALE</t>
  </si>
  <si>
    <t>East Kent Goldings</t>
  </si>
  <si>
    <t>Willamette</t>
  </si>
  <si>
    <t>122, 134, 154</t>
  </si>
  <si>
    <t>KOLSCH</t>
  </si>
  <si>
    <t>001</t>
  </si>
  <si>
    <t>051</t>
  </si>
  <si>
    <t>US05</t>
  </si>
  <si>
    <t>AMERICAN WHEAT OR RYE BEER</t>
  </si>
  <si>
    <t>Crisp Pale</t>
  </si>
  <si>
    <t>Rye</t>
  </si>
  <si>
    <t>Amarillo</t>
  </si>
  <si>
    <t>Cascade</t>
  </si>
  <si>
    <t>Liberty, Amarillo</t>
  </si>
  <si>
    <t>Hallertauer Tettnanger</t>
  </si>
  <si>
    <t>112, 130, 148, 158</t>
  </si>
  <si>
    <t>Simcoe, Hallertauer</t>
  </si>
  <si>
    <t>132, 153, 157</t>
  </si>
  <si>
    <t>NORTH GERMAN ALTBIER</t>
  </si>
  <si>
    <t>CALIFORNIA COMMON</t>
  </si>
  <si>
    <t>Maris Otter</t>
  </si>
  <si>
    <t>Amber DME</t>
  </si>
  <si>
    <t>Dark DME</t>
  </si>
  <si>
    <t>CaraMunich</t>
  </si>
  <si>
    <t>K-97</t>
  </si>
  <si>
    <t>Extra Special</t>
  </si>
  <si>
    <t>Chocolate Rye</t>
  </si>
  <si>
    <t>Red Wheat</t>
  </si>
  <si>
    <t>DUSSELDORF ALTBIER</t>
  </si>
  <si>
    <t>Nugget</t>
  </si>
  <si>
    <t>Santiam</t>
  </si>
  <si>
    <t>Saaz, Hallertauer</t>
  </si>
  <si>
    <t>Columbus</t>
  </si>
  <si>
    <t>Hersbrucker, Tettnanger</t>
  </si>
  <si>
    <t>036</t>
  </si>
  <si>
    <t>100, 125, 143, 157</t>
  </si>
  <si>
    <t>Nottingham</t>
  </si>
  <si>
    <t>029</t>
  </si>
  <si>
    <t>STANDARD/ORDINARY BITTER</t>
  </si>
  <si>
    <t>Golden Promise</t>
  </si>
  <si>
    <t>SPECIAL/BEST/PREMIUM BITTER</t>
  </si>
  <si>
    <t>Gold Pale</t>
  </si>
  <si>
    <t>Torrified Wheat</t>
  </si>
  <si>
    <t>C15</t>
  </si>
  <si>
    <t>C85</t>
  </si>
  <si>
    <t>Chocolate Wheat</t>
  </si>
  <si>
    <t>Caramalt</t>
  </si>
  <si>
    <t>Goldings</t>
  </si>
  <si>
    <t>Fuggle</t>
  </si>
  <si>
    <t>Fuggles</t>
  </si>
  <si>
    <t>Target</t>
  </si>
  <si>
    <t>Challenger, East Kent Goldings, Horizon</t>
  </si>
  <si>
    <t>Amber</t>
  </si>
  <si>
    <t>Northdown, Challenger</t>
  </si>
  <si>
    <t>C55</t>
  </si>
  <si>
    <t>Fuggles, Goldings</t>
  </si>
  <si>
    <t>Special B</t>
  </si>
  <si>
    <t>005</t>
  </si>
  <si>
    <t>002</t>
  </si>
  <si>
    <t>Crystal I</t>
  </si>
  <si>
    <t>Spalt, Magnum</t>
  </si>
  <si>
    <t>Magnum, Hallertauer</t>
  </si>
  <si>
    <t>Tradition</t>
  </si>
  <si>
    <t>Herkules</t>
  </si>
  <si>
    <t>Magnum, Horizon</t>
  </si>
  <si>
    <t>Crystal II</t>
  </si>
  <si>
    <t>Saaz, Tettnanger</t>
  </si>
  <si>
    <t>Pearl</t>
  </si>
  <si>
    <t>134, 158</t>
  </si>
  <si>
    <t>1007, 036</t>
  </si>
  <si>
    <t>EXTRA SPECIAL/STRONG BITTER</t>
  </si>
  <si>
    <t>SCOTTISH LIGHT 60/-</t>
  </si>
  <si>
    <t>Roasted Barley</t>
  </si>
  <si>
    <t>Mosaic</t>
  </si>
  <si>
    <t>Perle, Hallertauer</t>
  </si>
  <si>
    <t>Sugar</t>
  </si>
  <si>
    <t>East Kent Goldings, Challenger</t>
  </si>
  <si>
    <t>Special Roast</t>
  </si>
  <si>
    <t>Goldings, Fuggles</t>
  </si>
  <si>
    <t>Challenger</t>
  </si>
  <si>
    <t>132, 150</t>
  </si>
  <si>
    <t>Chinook, Fuggles</t>
  </si>
  <si>
    <t>Goldings, Willamette</t>
  </si>
  <si>
    <t>Cascade, Fuggles</t>
  </si>
  <si>
    <t>Willamete</t>
  </si>
  <si>
    <t>SCOTTISH HEAVY 70/-</t>
  </si>
  <si>
    <t>108, 140, 158</t>
  </si>
  <si>
    <t>011</t>
  </si>
  <si>
    <t>SCOTTISH EXPORT 80/-</t>
  </si>
  <si>
    <t>Roast Barley</t>
  </si>
  <si>
    <t>STRONG SCOTCH ALE</t>
  </si>
  <si>
    <t>C75</t>
  </si>
  <si>
    <t>English LME</t>
  </si>
  <si>
    <t>Peat</t>
  </si>
  <si>
    <t>Munich LME</t>
  </si>
  <si>
    <t>Black Treacle</t>
  </si>
  <si>
    <t>Maple Syrup</t>
  </si>
  <si>
    <t>C150</t>
  </si>
  <si>
    <t>Carastan</t>
  </si>
  <si>
    <t>C30</t>
  </si>
  <si>
    <t>Brown</t>
  </si>
  <si>
    <t>Rauch</t>
  </si>
  <si>
    <t>140, 158</t>
  </si>
  <si>
    <t>028</t>
  </si>
  <si>
    <t>004</t>
  </si>
  <si>
    <t>AMERICAN PALE ALE</t>
  </si>
  <si>
    <t>AMERICAN AMBER ALE</t>
  </si>
  <si>
    <t>Caramel Amber</t>
  </si>
  <si>
    <t>Munich 10L</t>
  </si>
  <si>
    <t>Summit</t>
  </si>
  <si>
    <t>East Kent Golding</t>
  </si>
  <si>
    <t>1.100</t>
  </si>
  <si>
    <t>AMERICAN BROWN ALE</t>
  </si>
  <si>
    <t>Norther Brewer</t>
  </si>
  <si>
    <t xml:space="preserve">Aromatic </t>
  </si>
  <si>
    <t>Willamette, Cascade</t>
  </si>
  <si>
    <t>145, 158</t>
  </si>
  <si>
    <t>Special Pale</t>
  </si>
  <si>
    <t>MILD</t>
  </si>
  <si>
    <t>CaraVienne</t>
  </si>
  <si>
    <t>Harrington</t>
  </si>
  <si>
    <t>C65</t>
  </si>
  <si>
    <t>C80</t>
  </si>
  <si>
    <t>Pale 2 Row</t>
  </si>
  <si>
    <t>Light LME</t>
  </si>
  <si>
    <t>Warrior</t>
  </si>
  <si>
    <t>Simcoe</t>
  </si>
  <si>
    <t>Centennial, Willamette</t>
  </si>
  <si>
    <t>Centennial, Cascade</t>
  </si>
  <si>
    <t>Cascade, Centennial</t>
  </si>
  <si>
    <t>Cascade Centennial</t>
  </si>
  <si>
    <t>Centennial, Simcoe</t>
  </si>
  <si>
    <t>Golden Naked Oats</t>
  </si>
  <si>
    <t>Medium Crystal</t>
  </si>
  <si>
    <t>130, 150, 156</t>
  </si>
  <si>
    <t>Amarillo, Cascade</t>
  </si>
  <si>
    <t>Mosaic, Centennial</t>
  </si>
  <si>
    <t>Centennial, Willamette, Homegrown</t>
  </si>
  <si>
    <t>Citra, Amarillo</t>
  </si>
  <si>
    <t>Cascade, Nelson</t>
  </si>
  <si>
    <t>Roast barley</t>
  </si>
  <si>
    <t>Cascade Willamette</t>
  </si>
  <si>
    <t>Cascade Fuggle</t>
  </si>
  <si>
    <t>Amarillo, Citra</t>
  </si>
  <si>
    <t>Mosaic, Citra</t>
  </si>
  <si>
    <t>SOUTHERN ENGLISH BROWN</t>
  </si>
  <si>
    <t>Dark Crystal I</t>
  </si>
  <si>
    <t>Dark Crystal II</t>
  </si>
  <si>
    <t>NORTHERN ENGLISH BROWN</t>
  </si>
  <si>
    <t>Special roast</t>
  </si>
  <si>
    <t>Aurora</t>
  </si>
  <si>
    <t>Brambling Cross</t>
  </si>
  <si>
    <t>132, 154</t>
  </si>
  <si>
    <t>Commercial London</t>
  </si>
  <si>
    <t>007</t>
  </si>
  <si>
    <t>Brown Sugar</t>
  </si>
  <si>
    <t>BROWN PORTER</t>
  </si>
  <si>
    <t>70 Brown</t>
  </si>
  <si>
    <t>Roasted 2 Row</t>
  </si>
  <si>
    <t>Cocoa Powder</t>
  </si>
  <si>
    <t>British Pale</t>
  </si>
  <si>
    <t>ROBUST PORTER</t>
  </si>
  <si>
    <t>C77</t>
  </si>
  <si>
    <t>Roasted Wheat</t>
  </si>
  <si>
    <t>Light Roast</t>
  </si>
  <si>
    <t>Northern Brewer, East Kent Goldings</t>
  </si>
  <si>
    <t>BALTIC PORTER</t>
  </si>
  <si>
    <t>East Kent Goldings, Goldings</t>
  </si>
  <si>
    <t>145, 152</t>
  </si>
  <si>
    <t>DRY STOUT</t>
  </si>
  <si>
    <t>Briess ?</t>
  </si>
  <si>
    <t>Dark Crystal</t>
  </si>
  <si>
    <t>Smoked</t>
  </si>
  <si>
    <t>126, 154</t>
  </si>
  <si>
    <t>OATMEAL STOUT</t>
  </si>
  <si>
    <t>Light DME</t>
  </si>
  <si>
    <t>FOREIGN EXTRA STOUT</t>
  </si>
  <si>
    <t>Black Barley</t>
  </si>
  <si>
    <t>Caramel Aroma</t>
  </si>
  <si>
    <t>Licorice</t>
  </si>
  <si>
    <t>Chinook</t>
  </si>
  <si>
    <t>104, 122, 140, 158</t>
  </si>
  <si>
    <t>104, 140, 158</t>
  </si>
  <si>
    <t>Commercial</t>
  </si>
  <si>
    <t>Rolled Oats</t>
  </si>
  <si>
    <t>Dark Brown Sugar</t>
  </si>
  <si>
    <t>Northern Brewer, Cluster</t>
  </si>
  <si>
    <t>AMERICAN STOUT</t>
  </si>
  <si>
    <t>RUSSIAN IMPERIAL STOUT</t>
  </si>
  <si>
    <t>ENGLISH IPA</t>
  </si>
  <si>
    <t>Flaked Wheat</t>
  </si>
  <si>
    <t>Torrified Barley</t>
  </si>
  <si>
    <t>AMERICAN IPA</t>
  </si>
  <si>
    <t>US Goldings</t>
  </si>
  <si>
    <t>Oats</t>
  </si>
  <si>
    <t>IMPERIAL IPA</t>
  </si>
  <si>
    <t>Dextrose</t>
  </si>
  <si>
    <t>C45</t>
  </si>
  <si>
    <t>2-Row</t>
  </si>
  <si>
    <t>Columbus, Chinook, Warrior</t>
  </si>
  <si>
    <t>CTZ</t>
  </si>
  <si>
    <t>C16</t>
  </si>
  <si>
    <t>Amarillo, Citra, Centennial, CTZ</t>
  </si>
  <si>
    <t>Columbus, Centennial, Simcoe</t>
  </si>
  <si>
    <t>Simcoe, Amarillo, Citra, Centennial, CTZ</t>
  </si>
  <si>
    <t>US-05</t>
  </si>
  <si>
    <t>WEIZEN WEISSBIER</t>
  </si>
  <si>
    <t>Hallertau Mittelfruh</t>
  </si>
  <si>
    <t>Northern Brewer, Hallertauer</t>
  </si>
  <si>
    <t>Magnum, Centennial</t>
  </si>
  <si>
    <t>Centennial, Perle, Fuggles</t>
  </si>
  <si>
    <t>Pacific Gem, Magnum, Centennial</t>
  </si>
  <si>
    <t>122, 142, 158</t>
  </si>
  <si>
    <t>115, 127, 149</t>
  </si>
  <si>
    <t>Liberty, East Kent Goldings</t>
  </si>
  <si>
    <t>120, 154</t>
  </si>
  <si>
    <t>128, 140, 155</t>
  </si>
  <si>
    <t>140, 153</t>
  </si>
  <si>
    <t>090</t>
  </si>
  <si>
    <t>Notes</t>
  </si>
  <si>
    <t>WEIZENBOCK</t>
  </si>
  <si>
    <t>Add a stick of licorice in boil and 1 oz cocao nibs in secondary</t>
  </si>
  <si>
    <t>ROGGENBIER</t>
  </si>
  <si>
    <t>Chinook, Columbus</t>
  </si>
  <si>
    <t>Centennial, Warrior</t>
  </si>
  <si>
    <t>Citra</t>
  </si>
  <si>
    <t>25 Min</t>
  </si>
  <si>
    <t>Willamette, Cascade, Centennial, Northern Brewer</t>
  </si>
  <si>
    <t>Columbus, Centennial, Cascade</t>
  </si>
  <si>
    <t>Simcoe, Amarillo</t>
  </si>
  <si>
    <t>Dark Wheat</t>
  </si>
  <si>
    <t>Centennial, Cascade, Willamette, Homegrown, Amarillo, Citra, Simcoe</t>
  </si>
  <si>
    <t>7 Min</t>
  </si>
  <si>
    <t>Amarillo, Simcoe</t>
  </si>
  <si>
    <t>2 Min</t>
  </si>
  <si>
    <t>Columbus, Cascade</t>
  </si>
  <si>
    <t>Simcoe, Cascade</t>
  </si>
  <si>
    <t>Amarillo, Centennial, Simcoe</t>
  </si>
  <si>
    <t>Steep</t>
  </si>
  <si>
    <t>Willamette, Centennial, Northern Brewer</t>
  </si>
  <si>
    <t>Simcoe, Amarillo, Cascade</t>
  </si>
  <si>
    <t>CaraMunich I</t>
  </si>
  <si>
    <t>Columbus, Cascade, Simcoe</t>
  </si>
  <si>
    <t>Simcoe, Columbus</t>
  </si>
  <si>
    <t>Centennial, Willamette, Citra, Simcoe</t>
  </si>
  <si>
    <t>Columbus, Simcoe, Mosaic</t>
  </si>
  <si>
    <t>CaraMunich III</t>
  </si>
  <si>
    <t>Northern Brewer, Sterling</t>
  </si>
  <si>
    <t>WITBIER</t>
  </si>
  <si>
    <t>111, 125, 153</t>
  </si>
  <si>
    <t>Single Decoc</t>
  </si>
  <si>
    <t>SAISON</t>
  </si>
  <si>
    <t>BIERE DE GARDE</t>
  </si>
  <si>
    <t>Mt. Ranier</t>
  </si>
  <si>
    <t>148, 156</t>
  </si>
  <si>
    <t>500, 530</t>
  </si>
  <si>
    <t>*Coriander, curacao orange peel added to secondary</t>
  </si>
  <si>
    <t>*Bitter Orange Peel, Coriander added at 15 mins</t>
  </si>
  <si>
    <t>*Bitter Orange Peel, Coriander added at 5 mins</t>
  </si>
  <si>
    <t>Sucrose</t>
  </si>
  <si>
    <t>BELGIAN SPECIALTY ALE</t>
  </si>
  <si>
    <t>BERLINER WEISSE</t>
  </si>
  <si>
    <t>Candi Sugar</t>
  </si>
  <si>
    <t>Hungarian Malt</t>
  </si>
  <si>
    <t>Hungarian Hop</t>
  </si>
  <si>
    <t>2565, Lacto</t>
  </si>
  <si>
    <t>Hallertauer, Saaz</t>
  </si>
  <si>
    <t>Styrian Goldings, Saaz</t>
  </si>
  <si>
    <t>Malted Wheat</t>
  </si>
  <si>
    <t>147, 152</t>
  </si>
  <si>
    <t>3724, 3711</t>
  </si>
  <si>
    <t>*Orange Zest and Ginger also added to boil</t>
  </si>
  <si>
    <t>Hungarian Yeast</t>
  </si>
  <si>
    <t>*Sour mash</t>
  </si>
  <si>
    <t>STRAIGHT (UNBLENDED) LAMBIC</t>
  </si>
  <si>
    <t>FLANDERS RED</t>
  </si>
  <si>
    <t>Raw Wheat</t>
  </si>
  <si>
    <t>Honey</t>
  </si>
  <si>
    <t>Munich 5L</t>
  </si>
  <si>
    <t>Styrian Goldings, Hallertauer</t>
  </si>
  <si>
    <t>East Kent Goldings, Hallertauer</t>
  </si>
  <si>
    <t>Aged</t>
  </si>
  <si>
    <t>135, 145, 152</t>
  </si>
  <si>
    <t>145, 150, 156</t>
  </si>
  <si>
    <t>120, 145</t>
  </si>
  <si>
    <t>1056, 3278</t>
  </si>
  <si>
    <t>1388, 4335</t>
  </si>
  <si>
    <t>CL380, 3526, 570</t>
  </si>
  <si>
    <t>Airborne</t>
  </si>
  <si>
    <t>Abbaye De Notre Dame</t>
  </si>
  <si>
    <t>5112, 5526</t>
  </si>
  <si>
    <t>570, 3787</t>
  </si>
  <si>
    <t>575, 655</t>
  </si>
  <si>
    <t>US05, 3763</t>
  </si>
  <si>
    <t>*French oak added in secondary</t>
  </si>
  <si>
    <t>*5 lb strawberries/5 gal and Brett B added in secondary</t>
  </si>
  <si>
    <t>*4.5 lb Raspberries/9 gallons</t>
  </si>
  <si>
    <t>*Sweet orange peel, coriander, gale, ginger added at 5 min.  1 lemon and 1 orange juiced added at flameout</t>
  </si>
  <si>
    <t>*Candi sugar, bitter orange peel, coriander added to boil</t>
  </si>
  <si>
    <t>*Bitter orange peel, coriander, grains of paradise added in boil</t>
  </si>
  <si>
    <t>GUEUZE</t>
  </si>
  <si>
    <t>65%, 65%</t>
  </si>
  <si>
    <t>Wheat DME</t>
  </si>
  <si>
    <t>35%, 35%</t>
  </si>
  <si>
    <t>Unmalted Wheat</t>
  </si>
  <si>
    <t>FRUIT LAMBIC</t>
  </si>
  <si>
    <t>Aged Saaz, Hallertauer</t>
  </si>
  <si>
    <t>Aged hops</t>
  </si>
  <si>
    <t>001, 3763</t>
  </si>
  <si>
    <t>1764, 3763</t>
  </si>
  <si>
    <t>1338, 3345</t>
  </si>
  <si>
    <t>*8 14.5 oz cans Oregon tart cherries in water added after 1 year/5.5 gal</t>
  </si>
  <si>
    <t>Turbid, Stepped Infusion</t>
  </si>
  <si>
    <t>1056, 5112, 5335, 5526, 5733</t>
  </si>
  <si>
    <t>Spelt</t>
  </si>
  <si>
    <t>BELGIAN BLONDE</t>
  </si>
  <si>
    <t>Caramel vienna</t>
  </si>
  <si>
    <t>Sauer</t>
  </si>
  <si>
    <t>BELGIAN DUBBEL</t>
  </si>
  <si>
    <t>Extra Light LME</t>
  </si>
  <si>
    <t>Candy Sugar</t>
  </si>
  <si>
    <t>124, 152</t>
  </si>
  <si>
    <t>3278, 4733</t>
  </si>
  <si>
    <t>*5 lb raspberries, 5 lb boysenberries/5 gallons</t>
  </si>
  <si>
    <t>*Raspberry concentrate, mixed berry juice, raspberry flavoring added ?</t>
  </si>
  <si>
    <t>*14 lb peaches/5 gal</t>
  </si>
  <si>
    <t>*15 lb peaches/5 gal</t>
  </si>
  <si>
    <t>BELGIAN TRIPEL</t>
  </si>
  <si>
    <t>*Blend of 3 batches</t>
  </si>
  <si>
    <t>Carafa Special</t>
  </si>
  <si>
    <t>Beet Sugar</t>
  </si>
  <si>
    <t>BELGIAN GOLDEN STRONG</t>
  </si>
  <si>
    <t>Corn Sugar</t>
  </si>
  <si>
    <t>BELGIAN DARK STRONG</t>
  </si>
  <si>
    <t>Light Brown Sugar</t>
  </si>
  <si>
    <t>*Coriander seeds added to boil</t>
  </si>
  <si>
    <t>Candi Syrup</t>
  </si>
  <si>
    <t>Tettnanger, East Kent Goldings</t>
  </si>
  <si>
    <t>Styrian Gold</t>
  </si>
  <si>
    <t>129, 150</t>
  </si>
  <si>
    <t>134, 148</t>
  </si>
  <si>
    <t>122, 147</t>
  </si>
  <si>
    <t>124, 148</t>
  </si>
  <si>
    <t>OLD ALE</t>
  </si>
  <si>
    <t>ENGLISH BARLEYWINE</t>
  </si>
  <si>
    <t xml:space="preserve">Munich </t>
  </si>
  <si>
    <t>Molasses</t>
  </si>
  <si>
    <t>Munich (6L)</t>
  </si>
  <si>
    <t>Turbinado Sugar</t>
  </si>
  <si>
    <t>Weyermann 5-12*</t>
  </si>
  <si>
    <t>Roasted</t>
  </si>
  <si>
    <t>C33</t>
  </si>
  <si>
    <t>Amber Candi Sugar</t>
  </si>
  <si>
    <t>Saaz, Perle</t>
  </si>
  <si>
    <t>Challenger, Cluster</t>
  </si>
  <si>
    <t>Styrian Goldings, Magnum</t>
  </si>
  <si>
    <t>Galena, Chinook, Nugget</t>
  </si>
  <si>
    <t>Glacier</t>
  </si>
  <si>
    <t>Herkules, Magnum</t>
  </si>
  <si>
    <t>Homegrown</t>
  </si>
  <si>
    <t>Willamette, Fuggles</t>
  </si>
  <si>
    <t>131, 140, 145, 158</t>
  </si>
  <si>
    <t>3739, 3787</t>
  </si>
  <si>
    <t>hallertauer, Northern Brewer</t>
  </si>
  <si>
    <t>Saaz, Cascade</t>
  </si>
  <si>
    <t>Brewers Gold, Challenger</t>
  </si>
  <si>
    <t>S-04</t>
  </si>
  <si>
    <t>Willamette, East Kent Goldings</t>
  </si>
  <si>
    <t>Hallertauer, Centennial</t>
  </si>
  <si>
    <t>AMERICAN BARLEYWINE</t>
  </si>
  <si>
    <t>WL East Coast</t>
  </si>
  <si>
    <t>010</t>
  </si>
  <si>
    <t>FRUIT BEER</t>
  </si>
  <si>
    <t>SPICE, HERB, VEGETABLE BEER</t>
  </si>
  <si>
    <t>Gold DME</t>
  </si>
  <si>
    <t>Pale chocolate</t>
  </si>
  <si>
    <t>C50</t>
  </si>
  <si>
    <t>Chinook, Centennial</t>
  </si>
  <si>
    <t>Chinook, Galena</t>
  </si>
  <si>
    <t>Centennial, Cascade, East Kent Goldings, Phoenix</t>
  </si>
  <si>
    <t>C26</t>
  </si>
  <si>
    <t>Columbus, Chinook</t>
  </si>
  <si>
    <t>Zeus, Chinook</t>
  </si>
  <si>
    <t>Simcoe, Centennial</t>
  </si>
  <si>
    <t>Amarillo, Centennial</t>
  </si>
  <si>
    <t>Phoenix</t>
  </si>
  <si>
    <t>Cascade, Centennial, Simcoe</t>
  </si>
  <si>
    <t>Amarillo, Centennial, Columbus</t>
  </si>
  <si>
    <t>Centennial, Amarillo</t>
  </si>
  <si>
    <t>Chinook, Centennial, Cascade</t>
  </si>
  <si>
    <t>104, 132, 151</t>
  </si>
  <si>
    <t>CLASSIC RAUCHBIER</t>
  </si>
  <si>
    <t>Lactose</t>
  </si>
  <si>
    <t>Golden Syrup</t>
  </si>
  <si>
    <t>Hallertauer Mittelfruh</t>
  </si>
  <si>
    <t>Northern Brewer, Styrian Goldings</t>
  </si>
  <si>
    <t>HopShot Extract</t>
  </si>
  <si>
    <t>100, 140, 155</t>
  </si>
  <si>
    <t>Simcoe, Columbus, Centennial, Amarillo</t>
  </si>
  <si>
    <t>122, 154</t>
  </si>
  <si>
    <t>105, 135, 158</t>
  </si>
  <si>
    <t>3056, 3787</t>
  </si>
  <si>
    <t>OTHER SMOKED BEER</t>
  </si>
  <si>
    <t>Chimay</t>
  </si>
  <si>
    <t>5335, 1272</t>
  </si>
  <si>
    <t>Smoked Cherrywood</t>
  </si>
  <si>
    <t>*10 lb peaches in secondary</t>
  </si>
  <si>
    <t>*10 lb peaches/5 gal</t>
  </si>
  <si>
    <t>*15 lb bing cherries/5 gallons</t>
  </si>
  <si>
    <t>*Apricot extract added in secondary</t>
  </si>
  <si>
    <t>*5 lb raspberries/5 gal in secondary</t>
  </si>
  <si>
    <t>*Peach extract at bottling</t>
  </si>
  <si>
    <t>*Blackberry flavoring added at bottling</t>
  </si>
  <si>
    <t>*Apricot flavoring at bottling</t>
  </si>
  <si>
    <t>*5 lb sour cherries/10 gal in secondary</t>
  </si>
  <si>
    <t>*Blend with blackberry melomel</t>
  </si>
  <si>
    <t>*Peach flavoring at bottling</t>
  </si>
  <si>
    <t>*Peach and mango extract to bottling</t>
  </si>
  <si>
    <t>*Coconut extract at bottling</t>
  </si>
  <si>
    <t>*No notes but used some form of strawberry</t>
  </si>
  <si>
    <t>*Coconut and dark chocolate in boil.  Coconut and raspberry extract at bottling</t>
  </si>
  <si>
    <t>*24 lb raspberries/10 gallons</t>
  </si>
  <si>
    <t>*4 lb of pineapple and coconut per 5 gallons</t>
  </si>
  <si>
    <t>Kolsch</t>
  </si>
  <si>
    <t>Cream Ale</t>
  </si>
  <si>
    <t>Berliner Weisse</t>
  </si>
  <si>
    <t>Baltic Porter</t>
  </si>
  <si>
    <t>Hefe</t>
  </si>
  <si>
    <t>IPA?</t>
  </si>
  <si>
    <t>Foreign Stout</t>
  </si>
  <si>
    <t>American Lager</t>
  </si>
  <si>
    <t>Sweet Stout</t>
  </si>
  <si>
    <t>Blonde</t>
  </si>
  <si>
    <t>Celia</t>
  </si>
  <si>
    <t>Columbus, Northern Brewer, Warrior, Simcoe</t>
  </si>
  <si>
    <t>Simcoe, Crystal, Centennial, Simcoe</t>
  </si>
  <si>
    <t>Nelson Sauvin</t>
  </si>
  <si>
    <t>WOOD AGED BEER</t>
  </si>
  <si>
    <t>1.000</t>
  </si>
  <si>
    <t>125, 144, 154</t>
  </si>
  <si>
    <t>Caramel Helles</t>
  </si>
  <si>
    <t>008</t>
  </si>
  <si>
    <t>Doric</t>
  </si>
  <si>
    <t>ECY08</t>
  </si>
  <si>
    <t>013</t>
  </si>
  <si>
    <t>677, 2575</t>
  </si>
  <si>
    <t>*Coriander at 20 min and secondary</t>
  </si>
  <si>
    <t>*Woodruff added at 10 min</t>
  </si>
  <si>
    <t>*Ginger root added in secondary and boil</t>
  </si>
  <si>
    <t>*10-12 vanilla beans/5 gal</t>
  </si>
  <si>
    <t>*Pepper tincture at bottling</t>
  </si>
  <si>
    <t>*Boiled pepper water added at bottling</t>
  </si>
  <si>
    <t>*Vanilla bean added in secondary</t>
  </si>
  <si>
    <t>*Jalapenos steeped after boil</t>
  </si>
  <si>
    <t>*Lemon verbena added unknown when</t>
  </si>
  <si>
    <t>*Pumpkin in mash, clove, cinnamon stick, nutmeg in boil</t>
  </si>
  <si>
    <t>*Ginger, bitter orange peel, coriander, chamomile added to boil</t>
  </si>
  <si>
    <t>*Green olives added to secondary</t>
  </si>
  <si>
    <t>*Hibiscus added in secondary (1 oz/gal)</t>
  </si>
  <si>
    <t>*Hazelnut extract added at bottling</t>
  </si>
  <si>
    <t xml:space="preserve">*"Dry pepper" 3g habaneros/gallon </t>
  </si>
  <si>
    <t>*5 dried chipotle peppers rehydrated/6 gallons</t>
  </si>
  <si>
    <t>*1 dram mink chocolate chip flavor candy oil/5 gallons</t>
  </si>
  <si>
    <t>Wit</t>
  </si>
  <si>
    <t>Belgian</t>
  </si>
  <si>
    <t>Foreign Style Stout</t>
  </si>
  <si>
    <t>Strong Scotch Ale</t>
  </si>
  <si>
    <t>Saison</t>
  </si>
  <si>
    <t>Belgian Strong</t>
  </si>
  <si>
    <t>Northern English Brown</t>
  </si>
  <si>
    <t>IPA</t>
  </si>
  <si>
    <t>Licthenhainer</t>
  </si>
  <si>
    <t>Carastan 30</t>
  </si>
  <si>
    <t>Chocolate 475</t>
  </si>
  <si>
    <t>Rauchmalz</t>
  </si>
  <si>
    <t>Simcoe, Amarillo, Chinook</t>
  </si>
  <si>
    <t>Caramel Wheat</t>
  </si>
  <si>
    <t>SPECIALTY BEER</t>
  </si>
  <si>
    <t>*8 inches spanish cedar spiral in secondary for 6 gal</t>
  </si>
  <si>
    <t>*Aged in Heaven Hill bourbon barrel for 200 days then blended with non barrel aged beer</t>
  </si>
  <si>
    <t>*Aged in charred oak barrel</t>
  </si>
  <si>
    <t>Home Smoked</t>
  </si>
  <si>
    <t>Progress</t>
  </si>
  <si>
    <t>*Bittersweet chocolate, cocoa nibs, dark roast coffee added to boil.  Racked to bourbon barrel for secondary</t>
  </si>
  <si>
    <t>Light Crystal</t>
  </si>
  <si>
    <t>Smoked Wheat</t>
  </si>
  <si>
    <t>Flaked Rye</t>
  </si>
  <si>
    <t>Maltodextrin</t>
  </si>
  <si>
    <t>Challenger, Northern Brewer</t>
  </si>
  <si>
    <t>Cluster, Columbus</t>
  </si>
  <si>
    <t>Columbus, Cluster, East Kent Goldings</t>
  </si>
  <si>
    <t>Citra, Mosaic</t>
  </si>
  <si>
    <t>Mt hood</t>
  </si>
  <si>
    <t>Centennial, Liberty</t>
  </si>
  <si>
    <t>122, 151</t>
  </si>
  <si>
    <t>120, 153</t>
  </si>
  <si>
    <t>100, 125, 149, 158</t>
  </si>
  <si>
    <t>Lallemand Windsor</t>
  </si>
  <si>
    <t>099</t>
  </si>
  <si>
    <t>Bugfarm, Dirty Dozen, Dregs</t>
  </si>
  <si>
    <t>*Carraway seeds in boil and dry hop</t>
  </si>
  <si>
    <t>*Orange peel, coriander added boil at 10 and 2 mins</t>
  </si>
  <si>
    <t>*10-12 vanilla beans in secondary/5 gallons</t>
  </si>
  <si>
    <t>*Maxwell house coffee steeped in keg, liquid chocolate flavoring added at bottling</t>
  </si>
  <si>
    <t>*Fennel, sweet gale, lemon grass, licorice, vanilla added to boil</t>
  </si>
  <si>
    <t>*Chipotle peppers added unknown when</t>
  </si>
  <si>
    <t>*Spruce tips, molasses added to boil</t>
  </si>
  <si>
    <t>*Saffron, grape juice concentrate, honey added to boil</t>
  </si>
  <si>
    <t>*Cold pressed coffee at bottling (1.25 mL/1 oz)</t>
  </si>
  <si>
    <t>*Aged in neutral oak barrel for 2 years</t>
  </si>
  <si>
    <t>Rye IPA</t>
  </si>
  <si>
    <t>Rye Beer</t>
  </si>
  <si>
    <t>Wheat Wine</t>
  </si>
  <si>
    <t>Imperial Cream Stout</t>
  </si>
  <si>
    <t>Dry Stout</t>
  </si>
  <si>
    <t>Imperial Historic Brown</t>
  </si>
  <si>
    <t>Gruit</t>
  </si>
  <si>
    <t>Smoked Bock</t>
  </si>
  <si>
    <t>Historical</t>
  </si>
  <si>
    <t>Imperial Brown</t>
  </si>
  <si>
    <t>Old Ale</t>
  </si>
  <si>
    <t>Eis Barleywine</t>
  </si>
  <si>
    <t>Black IPA</t>
  </si>
  <si>
    <t>Imperial Milk Stout</t>
  </si>
  <si>
    <t>Session IPA</t>
  </si>
  <si>
    <t>Mixed Fermentation Wheat Ale</t>
  </si>
  <si>
    <t>Hop times are listed as close to the number as possible (ex. 1 min additions put under 0 min category)</t>
  </si>
  <si>
    <t>Hallertauer, Spalt</t>
  </si>
  <si>
    <t>Fuggles, Cascade</t>
  </si>
  <si>
    <t>Saaz, Hallertauer, Spalt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</si>
</sst>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rgb="FF000000"/>
      <name val="Calibri"/>
    </font>
    <font>
      <sz val="11"/>
      <name val="Calibri"/>
      <family val="2"/>
    </font>
    <font>
      <u/>
      <sz val="11"/>
      <color rgb="FF0000FF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Calibri"/>
      <family val="2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0" fillId="0" borderId="0" xfId="0" applyFont="1"/>
    <xf numFmtId="0" fontId="4" fillId="0" borderId="1" xfId="0" applyFont="1" applyBorder="1" applyAlignment="1"/>
    <xf numFmtId="0" fontId="0" fillId="0" borderId="0" xfId="0" applyFont="1" applyAlignment="1"/>
    <xf numFmtId="0" fontId="4" fillId="0" borderId="1" xfId="0" applyFont="1" applyBorder="1"/>
    <xf numFmtId="0" fontId="5" fillId="0" borderId="1" xfId="0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4" fillId="0" borderId="0" xfId="0" applyFont="1"/>
    <xf numFmtId="164" fontId="0" fillId="0" borderId="1" xfId="0" applyNumberFormat="1" applyFont="1" applyBorder="1"/>
    <xf numFmtId="164" fontId="0" fillId="0" borderId="0" xfId="0" applyNumberFormat="1" applyFont="1"/>
    <xf numFmtId="9" fontId="0" fillId="0" borderId="1" xfId="0" applyNumberFormat="1" applyFont="1" applyBorder="1"/>
    <xf numFmtId="0" fontId="0" fillId="0" borderId="0" xfId="0" applyFo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164" fontId="0" fillId="0" borderId="1" xfId="0" applyNumberFormat="1" applyFont="1" applyBorder="1" applyAlignment="1"/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2" xfId="0" applyFont="1" applyBorder="1"/>
    <xf numFmtId="0" fontId="1" fillId="0" borderId="0" xfId="0" applyFont="1" applyAlignment="1"/>
    <xf numFmtId="164" fontId="0" fillId="0" borderId="2" xfId="0" applyNumberFormat="1" applyFont="1" applyBorder="1"/>
    <xf numFmtId="0" fontId="0" fillId="0" borderId="2" xfId="0" applyFont="1" applyBorder="1"/>
    <xf numFmtId="0" fontId="0" fillId="0" borderId="2" xfId="0" applyFont="1" applyBorder="1" applyAlignment="1">
      <alignment wrapText="1"/>
    </xf>
    <xf numFmtId="3" fontId="0" fillId="0" borderId="1" xfId="0" applyNumberFormat="1" applyFont="1" applyBorder="1"/>
    <xf numFmtId="0" fontId="0" fillId="0" borderId="2" xfId="0" applyFont="1" applyBorder="1" applyAlignment="1">
      <alignment horizontal="right"/>
    </xf>
    <xf numFmtId="0" fontId="5" fillId="0" borderId="0" xfId="0" applyFont="1"/>
    <xf numFmtId="3" fontId="0" fillId="0" borderId="1" xfId="0" applyNumberFormat="1" applyFont="1" applyBorder="1" applyAlignment="1"/>
    <xf numFmtId="3" fontId="0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/>
    <xf numFmtId="0" fontId="0" fillId="0" borderId="0" xfId="0" applyFont="1" applyAlignment="1">
      <alignment wrapText="1"/>
    </xf>
    <xf numFmtId="0" fontId="0" fillId="0" borderId="2" xfId="0" applyFont="1" applyBorder="1" applyAlignment="1"/>
    <xf numFmtId="3" fontId="0" fillId="0" borderId="1" xfId="0" applyNumberFormat="1" applyFont="1" applyBorder="1" applyAlignment="1">
      <alignment horizontal="right" wrapText="1"/>
    </xf>
    <xf numFmtId="0" fontId="4" fillId="0" borderId="3" xfId="0" applyFont="1" applyBorder="1"/>
    <xf numFmtId="0" fontId="4" fillId="0" borderId="3" xfId="0" applyFont="1" applyBorder="1" applyAlignment="1"/>
    <xf numFmtId="3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10" fontId="0" fillId="0" borderId="1" xfId="0" applyNumberFormat="1" applyFont="1" applyBorder="1" applyAlignment="1"/>
    <xf numFmtId="0" fontId="5" fillId="0" borderId="1" xfId="0" applyFont="1" applyBorder="1" applyAlignment="1">
      <alignment horizontal="center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" xfId="0" applyNumberFormat="1" applyFont="1" applyBorder="1"/>
    <xf numFmtId="164" fontId="0" fillId="0" borderId="0" xfId="0" applyNumberFormat="1" applyFont="1" applyAlignment="1">
      <alignment horizontal="center"/>
    </xf>
    <xf numFmtId="164" fontId="1" fillId="0" borderId="0" xfId="0" applyNumberFormat="1" applyFont="1"/>
    <xf numFmtId="0" fontId="3" fillId="0" borderId="0" xfId="0" applyFont="1" applyAlignment="1"/>
    <xf numFmtId="0" fontId="5" fillId="0" borderId="4" xfId="0" applyFont="1" applyBorder="1"/>
    <xf numFmtId="164" fontId="0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4" xfId="0" applyFont="1" applyBorder="1" applyAlignment="1">
      <alignment horizontal="right"/>
    </xf>
    <xf numFmtId="0" fontId="1" fillId="0" borderId="0" xfId="0" applyFont="1" applyAlignment="1">
      <alignment wrapText="1"/>
    </xf>
    <xf numFmtId="0" fontId="8" fillId="0" borderId="0" xfId="0" applyFont="1"/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7" xfId="0" applyFont="1" applyBorder="1"/>
    <xf numFmtId="0" fontId="0" fillId="0" borderId="5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0" fillId="0" borderId="8" xfId="0" applyFont="1" applyBorder="1"/>
    <xf numFmtId="0" fontId="0" fillId="0" borderId="7" xfId="0" applyFont="1" applyBorder="1" applyAlignment="1"/>
    <xf numFmtId="0" fontId="0" fillId="0" borderId="5" xfId="0" applyFont="1" applyBorder="1" applyAlignment="1"/>
    <xf numFmtId="0" fontId="0" fillId="0" borderId="7" xfId="0" applyFont="1" applyBorder="1" applyAlignment="1">
      <alignment wrapText="1"/>
    </xf>
    <xf numFmtId="0" fontId="6" fillId="2" borderId="5" xfId="0" applyFont="1" applyFill="1" applyBorder="1" applyAlignment="1"/>
    <xf numFmtId="0" fontId="0" fillId="0" borderId="6" xfId="0" applyFont="1" applyBorder="1"/>
    <xf numFmtId="0" fontId="1" fillId="0" borderId="5" xfId="0" applyFont="1" applyBorder="1" applyAlignment="1"/>
    <xf numFmtId="0" fontId="0" fillId="0" borderId="5" xfId="0" applyFont="1" applyBorder="1"/>
    <xf numFmtId="0" fontId="0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google.com/spreadsheets/d/1o6vwVBvE6Z7myDFppwa2RJsa6YPjVH0-b9PUnirsfRE/edit" TargetMode="External"/><Relationship Id="rId18" Type="http://schemas.openxmlformats.org/officeDocument/2006/relationships/hyperlink" Target="https://docs.google.com/spreadsheets/d/1o6vwVBvE6Z7myDFppwa2RJsa6YPjVH0-b9PUnirsfRE/edit" TargetMode="External"/><Relationship Id="rId26" Type="http://schemas.openxmlformats.org/officeDocument/2006/relationships/hyperlink" Target="https://docs.google.com/spreadsheets/d/1o6vwVBvE6Z7myDFppwa2RJsa6YPjVH0-b9PUnirsfRE/edit" TargetMode="External"/><Relationship Id="rId39" Type="http://schemas.openxmlformats.org/officeDocument/2006/relationships/hyperlink" Target="https://docs.google.com/spreadsheets/d/1o6vwVBvE6Z7myDFppwa2RJsa6YPjVH0-b9PUnirsfRE/edit" TargetMode="External"/><Relationship Id="rId21" Type="http://schemas.openxmlformats.org/officeDocument/2006/relationships/hyperlink" Target="https://docs.google.com/spreadsheets/d/1o6vwVBvE6Z7myDFppwa2RJsa6YPjVH0-b9PUnirsfRE/edit" TargetMode="External"/><Relationship Id="rId34" Type="http://schemas.openxmlformats.org/officeDocument/2006/relationships/hyperlink" Target="https://docs.google.com/spreadsheets/d/1o6vwVBvE6Z7myDFppwa2RJsa6YPjVH0-b9PUnirsfRE/edit" TargetMode="External"/><Relationship Id="rId42" Type="http://schemas.openxmlformats.org/officeDocument/2006/relationships/hyperlink" Target="https://docs.google.com/spreadsheets/d/1o6vwVBvE6Z7myDFppwa2RJsa6YPjVH0-b9PUnirsfRE/edit" TargetMode="External"/><Relationship Id="rId47" Type="http://schemas.openxmlformats.org/officeDocument/2006/relationships/hyperlink" Target="https://docs.google.com/spreadsheets/d/1o6vwVBvE6Z7myDFppwa2RJsa6YPjVH0-b9PUnirsfRE/edit" TargetMode="External"/><Relationship Id="rId50" Type="http://schemas.openxmlformats.org/officeDocument/2006/relationships/hyperlink" Target="https://docs.google.com/spreadsheets/d/1o6vwVBvE6Z7myDFppwa2RJsa6YPjVH0-b9PUnirsfRE/edit" TargetMode="External"/><Relationship Id="rId55" Type="http://schemas.openxmlformats.org/officeDocument/2006/relationships/hyperlink" Target="https://docs.google.com/spreadsheets/d/1o6vwVBvE6Z7myDFppwa2RJsa6YPjVH0-b9PUnirsfRE/edit" TargetMode="External"/><Relationship Id="rId63" Type="http://schemas.openxmlformats.org/officeDocument/2006/relationships/hyperlink" Target="https://docs.google.com/spreadsheets/d/1o6vwVBvE6Z7myDFppwa2RJsa6YPjVH0-b9PUnirsfRE/edit" TargetMode="External"/><Relationship Id="rId68" Type="http://schemas.openxmlformats.org/officeDocument/2006/relationships/hyperlink" Target="https://docs.google.com/spreadsheets/d/1o6vwVBvE6Z7myDFppwa2RJsa6YPjVH0-b9PUnirsfRE/edit" TargetMode="External"/><Relationship Id="rId7" Type="http://schemas.openxmlformats.org/officeDocument/2006/relationships/hyperlink" Target="https://docs.google.com/spreadsheets/d/1o6vwVBvE6Z7myDFppwa2RJsa6YPjVH0-b9PUnirsfRE/edit" TargetMode="External"/><Relationship Id="rId71" Type="http://schemas.openxmlformats.org/officeDocument/2006/relationships/hyperlink" Target="https://docs.google.com/spreadsheets/d/1o6vwVBvE6Z7myDFppwa2RJsa6YPjVH0-b9PUnirsfRE/edit" TargetMode="External"/><Relationship Id="rId2" Type="http://schemas.openxmlformats.org/officeDocument/2006/relationships/hyperlink" Target="https://docs.google.com/spreadsheets/d/1o6vwVBvE6Z7myDFppwa2RJsa6YPjVH0-b9PUnirsfRE/edit" TargetMode="External"/><Relationship Id="rId16" Type="http://schemas.openxmlformats.org/officeDocument/2006/relationships/hyperlink" Target="https://docs.google.com/spreadsheets/d/1o6vwVBvE6Z7myDFppwa2RJsa6YPjVH0-b9PUnirsfRE/edit" TargetMode="External"/><Relationship Id="rId29" Type="http://schemas.openxmlformats.org/officeDocument/2006/relationships/hyperlink" Target="https://docs.google.com/spreadsheets/d/1o6vwVBvE6Z7myDFppwa2RJsa6YPjVH0-b9PUnirsfRE/edit" TargetMode="External"/><Relationship Id="rId1" Type="http://schemas.openxmlformats.org/officeDocument/2006/relationships/hyperlink" Target="https://docs.google.com/spreadsheets/d/1o6vwVBvE6Z7myDFppwa2RJsa6YPjVH0-b9PUnirsfRE/edit" TargetMode="External"/><Relationship Id="rId6" Type="http://schemas.openxmlformats.org/officeDocument/2006/relationships/hyperlink" Target="https://docs.google.com/spreadsheets/d/1o6vwVBvE6Z7myDFppwa2RJsa6YPjVH0-b9PUnirsfRE/edit" TargetMode="External"/><Relationship Id="rId11" Type="http://schemas.openxmlformats.org/officeDocument/2006/relationships/hyperlink" Target="https://docs.google.com/spreadsheets/d/1o6vwVBvE6Z7myDFppwa2RJsa6YPjVH0-b9PUnirsfRE/edit" TargetMode="External"/><Relationship Id="rId24" Type="http://schemas.openxmlformats.org/officeDocument/2006/relationships/hyperlink" Target="https://docs.google.com/spreadsheets/d/1o6vwVBvE6Z7myDFppwa2RJsa6YPjVH0-b9PUnirsfRE/edit" TargetMode="External"/><Relationship Id="rId32" Type="http://schemas.openxmlformats.org/officeDocument/2006/relationships/hyperlink" Target="https://docs.google.com/spreadsheets/d/1o6vwVBvE6Z7myDFppwa2RJsa6YPjVH0-b9PUnirsfRE/edit" TargetMode="External"/><Relationship Id="rId37" Type="http://schemas.openxmlformats.org/officeDocument/2006/relationships/hyperlink" Target="https://docs.google.com/spreadsheets/d/1o6vwVBvE6Z7myDFppwa2RJsa6YPjVH0-b9PUnirsfRE/edit" TargetMode="External"/><Relationship Id="rId40" Type="http://schemas.openxmlformats.org/officeDocument/2006/relationships/hyperlink" Target="https://docs.google.com/spreadsheets/d/1o6vwVBvE6Z7myDFppwa2RJsa6YPjVH0-b9PUnirsfRE/edit" TargetMode="External"/><Relationship Id="rId45" Type="http://schemas.openxmlformats.org/officeDocument/2006/relationships/hyperlink" Target="https://docs.google.com/spreadsheets/d/1o6vwVBvE6Z7myDFppwa2RJsa6YPjVH0-b9PUnirsfRE/edit" TargetMode="External"/><Relationship Id="rId53" Type="http://schemas.openxmlformats.org/officeDocument/2006/relationships/hyperlink" Target="https://docs.google.com/spreadsheets/d/1o6vwVBvE6Z7myDFppwa2RJsa6YPjVH0-b9PUnirsfRE/edit" TargetMode="External"/><Relationship Id="rId58" Type="http://schemas.openxmlformats.org/officeDocument/2006/relationships/hyperlink" Target="https://docs.google.com/spreadsheets/d/1o6vwVBvE6Z7myDFppwa2RJsa6YPjVH0-b9PUnirsfRE/edit" TargetMode="External"/><Relationship Id="rId66" Type="http://schemas.openxmlformats.org/officeDocument/2006/relationships/hyperlink" Target="https://docs.google.com/spreadsheets/d/1o6vwVBvE6Z7myDFppwa2RJsa6YPjVH0-b9PUnirsfRE/edit" TargetMode="External"/><Relationship Id="rId5" Type="http://schemas.openxmlformats.org/officeDocument/2006/relationships/hyperlink" Target="https://docs.google.com/spreadsheets/d/1o6vwVBvE6Z7myDFppwa2RJsa6YPjVH0-b9PUnirsfRE/edit" TargetMode="External"/><Relationship Id="rId15" Type="http://schemas.openxmlformats.org/officeDocument/2006/relationships/hyperlink" Target="https://docs.google.com/spreadsheets/d/1o6vwVBvE6Z7myDFppwa2RJsa6YPjVH0-b9PUnirsfRE/edit" TargetMode="External"/><Relationship Id="rId23" Type="http://schemas.openxmlformats.org/officeDocument/2006/relationships/hyperlink" Target="https://docs.google.com/spreadsheets/d/1o6vwVBvE6Z7myDFppwa2RJsa6YPjVH0-b9PUnirsfRE/edit" TargetMode="External"/><Relationship Id="rId28" Type="http://schemas.openxmlformats.org/officeDocument/2006/relationships/hyperlink" Target="https://docs.google.com/spreadsheets/d/1o6vwVBvE6Z7myDFppwa2RJsa6YPjVH0-b9PUnirsfRE/edit" TargetMode="External"/><Relationship Id="rId36" Type="http://schemas.openxmlformats.org/officeDocument/2006/relationships/hyperlink" Target="https://docs.google.com/spreadsheets/d/1o6vwVBvE6Z7myDFppwa2RJsa6YPjVH0-b9PUnirsfRE/edit" TargetMode="External"/><Relationship Id="rId49" Type="http://schemas.openxmlformats.org/officeDocument/2006/relationships/hyperlink" Target="https://docs.google.com/spreadsheets/d/1o6vwVBvE6Z7myDFppwa2RJsa6YPjVH0-b9PUnirsfRE/edit" TargetMode="External"/><Relationship Id="rId57" Type="http://schemas.openxmlformats.org/officeDocument/2006/relationships/hyperlink" Target="https://docs.google.com/spreadsheets/d/1o6vwVBvE6Z7myDFppwa2RJsa6YPjVH0-b9PUnirsfRE/edit" TargetMode="External"/><Relationship Id="rId61" Type="http://schemas.openxmlformats.org/officeDocument/2006/relationships/hyperlink" Target="https://docs.google.com/spreadsheets/d/1o6vwVBvE6Z7myDFppwa2RJsa6YPjVH0-b9PUnirsfRE/edit" TargetMode="External"/><Relationship Id="rId10" Type="http://schemas.openxmlformats.org/officeDocument/2006/relationships/hyperlink" Target="https://docs.google.com/spreadsheets/d/1o6vwVBvE6Z7myDFppwa2RJsa6YPjVH0-b9PUnirsfRE/edit" TargetMode="External"/><Relationship Id="rId19" Type="http://schemas.openxmlformats.org/officeDocument/2006/relationships/hyperlink" Target="https://docs.google.com/spreadsheets/d/1o6vwVBvE6Z7myDFppwa2RJsa6YPjVH0-b9PUnirsfRE/edit" TargetMode="External"/><Relationship Id="rId31" Type="http://schemas.openxmlformats.org/officeDocument/2006/relationships/hyperlink" Target="https://docs.google.com/spreadsheets/d/1o6vwVBvE6Z7myDFppwa2RJsa6YPjVH0-b9PUnirsfRE/edit" TargetMode="External"/><Relationship Id="rId44" Type="http://schemas.openxmlformats.org/officeDocument/2006/relationships/hyperlink" Target="https://docs.google.com/spreadsheets/d/1o6vwVBvE6Z7myDFppwa2RJsa6YPjVH0-b9PUnirsfRE/edit" TargetMode="External"/><Relationship Id="rId52" Type="http://schemas.openxmlformats.org/officeDocument/2006/relationships/hyperlink" Target="https://docs.google.com/spreadsheets/d/1o6vwVBvE6Z7myDFppwa2RJsa6YPjVH0-b9PUnirsfRE/edit" TargetMode="External"/><Relationship Id="rId60" Type="http://schemas.openxmlformats.org/officeDocument/2006/relationships/hyperlink" Target="https://docs.google.com/spreadsheets/d/1o6vwVBvE6Z7myDFppwa2RJsa6YPjVH0-b9PUnirsfRE/edit" TargetMode="External"/><Relationship Id="rId65" Type="http://schemas.openxmlformats.org/officeDocument/2006/relationships/hyperlink" Target="https://docs.google.com/spreadsheets/d/1o6vwVBvE6Z7myDFppwa2RJsa6YPjVH0-b9PUnirsfRE/edit" TargetMode="External"/><Relationship Id="rId4" Type="http://schemas.openxmlformats.org/officeDocument/2006/relationships/hyperlink" Target="https://docs.google.com/spreadsheets/d/1o6vwVBvE6Z7myDFppwa2RJsa6YPjVH0-b9PUnirsfRE/edit" TargetMode="External"/><Relationship Id="rId9" Type="http://schemas.openxmlformats.org/officeDocument/2006/relationships/hyperlink" Target="https://docs.google.com/spreadsheets/d/1o6vwVBvE6Z7myDFppwa2RJsa6YPjVH0-b9PUnirsfRE/edit" TargetMode="External"/><Relationship Id="rId14" Type="http://schemas.openxmlformats.org/officeDocument/2006/relationships/hyperlink" Target="https://docs.google.com/spreadsheets/d/1o6vwVBvE6Z7myDFppwa2RJsa6YPjVH0-b9PUnirsfRE/edit" TargetMode="External"/><Relationship Id="rId22" Type="http://schemas.openxmlformats.org/officeDocument/2006/relationships/hyperlink" Target="https://docs.google.com/spreadsheets/d/1o6vwVBvE6Z7myDFppwa2RJsa6YPjVH0-b9PUnirsfRE/edit" TargetMode="External"/><Relationship Id="rId27" Type="http://schemas.openxmlformats.org/officeDocument/2006/relationships/hyperlink" Target="https://docs.google.com/spreadsheets/d/1o6vwVBvE6Z7myDFppwa2RJsa6YPjVH0-b9PUnirsfRE/edit" TargetMode="External"/><Relationship Id="rId30" Type="http://schemas.openxmlformats.org/officeDocument/2006/relationships/hyperlink" Target="https://docs.google.com/spreadsheets/d/1o6vwVBvE6Z7myDFppwa2RJsa6YPjVH0-b9PUnirsfRE/edit" TargetMode="External"/><Relationship Id="rId35" Type="http://schemas.openxmlformats.org/officeDocument/2006/relationships/hyperlink" Target="https://docs.google.com/spreadsheets/d/1o6vwVBvE6Z7myDFppwa2RJsa6YPjVH0-b9PUnirsfRE/edit" TargetMode="External"/><Relationship Id="rId43" Type="http://schemas.openxmlformats.org/officeDocument/2006/relationships/hyperlink" Target="https://docs.google.com/spreadsheets/d/1o6vwVBvE6Z7myDFppwa2RJsa6YPjVH0-b9PUnirsfRE/edit" TargetMode="External"/><Relationship Id="rId48" Type="http://schemas.openxmlformats.org/officeDocument/2006/relationships/hyperlink" Target="https://docs.google.com/spreadsheets/d/1o6vwVBvE6Z7myDFppwa2RJsa6YPjVH0-b9PUnirsfRE/edit" TargetMode="External"/><Relationship Id="rId56" Type="http://schemas.openxmlformats.org/officeDocument/2006/relationships/hyperlink" Target="https://docs.google.com/spreadsheets/d/1o6vwVBvE6Z7myDFppwa2RJsa6YPjVH0-b9PUnirsfRE/edit" TargetMode="External"/><Relationship Id="rId64" Type="http://schemas.openxmlformats.org/officeDocument/2006/relationships/hyperlink" Target="https://docs.google.com/spreadsheets/d/1o6vwVBvE6Z7myDFppwa2RJsa6YPjVH0-b9PUnirsfRE/edit" TargetMode="External"/><Relationship Id="rId69" Type="http://schemas.openxmlformats.org/officeDocument/2006/relationships/hyperlink" Target="https://docs.google.com/spreadsheets/d/1o6vwVBvE6Z7myDFppwa2RJsa6YPjVH0-b9PUnirsfRE/edit" TargetMode="External"/><Relationship Id="rId8" Type="http://schemas.openxmlformats.org/officeDocument/2006/relationships/hyperlink" Target="https://docs.google.com/spreadsheets/d/1o6vwVBvE6Z7myDFppwa2RJsa6YPjVH0-b9PUnirsfRE/edit" TargetMode="External"/><Relationship Id="rId51" Type="http://schemas.openxmlformats.org/officeDocument/2006/relationships/hyperlink" Target="https://docs.google.com/spreadsheets/d/1o6vwVBvE6Z7myDFppwa2RJsa6YPjVH0-b9PUnirsfRE/edit" TargetMode="External"/><Relationship Id="rId72" Type="http://schemas.openxmlformats.org/officeDocument/2006/relationships/hyperlink" Target="https://docs.google.com/spreadsheets/d/1o6vwVBvE6Z7myDFppwa2RJsa6YPjVH0-b9PUnirsfRE/edit" TargetMode="External"/><Relationship Id="rId3" Type="http://schemas.openxmlformats.org/officeDocument/2006/relationships/hyperlink" Target="https://docs.google.com/spreadsheets/d/1o6vwVBvE6Z7myDFppwa2RJsa6YPjVH0-b9PUnirsfRE/edit" TargetMode="External"/><Relationship Id="rId12" Type="http://schemas.openxmlformats.org/officeDocument/2006/relationships/hyperlink" Target="https://docs.google.com/spreadsheets/d/1o6vwVBvE6Z7myDFppwa2RJsa6YPjVH0-b9PUnirsfRE/edit" TargetMode="External"/><Relationship Id="rId17" Type="http://schemas.openxmlformats.org/officeDocument/2006/relationships/hyperlink" Target="https://docs.google.com/spreadsheets/d/1o6vwVBvE6Z7myDFppwa2RJsa6YPjVH0-b9PUnirsfRE/edit" TargetMode="External"/><Relationship Id="rId25" Type="http://schemas.openxmlformats.org/officeDocument/2006/relationships/hyperlink" Target="https://docs.google.com/spreadsheets/d/1o6vwVBvE6Z7myDFppwa2RJsa6YPjVH0-b9PUnirsfRE/edit" TargetMode="External"/><Relationship Id="rId33" Type="http://schemas.openxmlformats.org/officeDocument/2006/relationships/hyperlink" Target="https://docs.google.com/spreadsheets/d/1o6vwVBvE6Z7myDFppwa2RJsa6YPjVH0-b9PUnirsfRE/edit" TargetMode="External"/><Relationship Id="rId38" Type="http://schemas.openxmlformats.org/officeDocument/2006/relationships/hyperlink" Target="https://docs.google.com/spreadsheets/d/1o6vwVBvE6Z7myDFppwa2RJsa6YPjVH0-b9PUnirsfRE/edit" TargetMode="External"/><Relationship Id="rId46" Type="http://schemas.openxmlformats.org/officeDocument/2006/relationships/hyperlink" Target="https://docs.google.com/spreadsheets/d/1o6vwVBvE6Z7myDFppwa2RJsa6YPjVH0-b9PUnirsfRE/edit" TargetMode="External"/><Relationship Id="rId59" Type="http://schemas.openxmlformats.org/officeDocument/2006/relationships/hyperlink" Target="https://docs.google.com/spreadsheets/d/1o6vwVBvE6Z7myDFppwa2RJsa6YPjVH0-b9PUnirsfRE/edit" TargetMode="External"/><Relationship Id="rId67" Type="http://schemas.openxmlformats.org/officeDocument/2006/relationships/hyperlink" Target="https://docs.google.com/spreadsheets/d/1o6vwVBvE6Z7myDFppwa2RJsa6YPjVH0-b9PUnirsfRE/edit" TargetMode="External"/><Relationship Id="rId20" Type="http://schemas.openxmlformats.org/officeDocument/2006/relationships/hyperlink" Target="https://docs.google.com/spreadsheets/d/1o6vwVBvE6Z7myDFppwa2RJsa6YPjVH0-b9PUnirsfRE/edit" TargetMode="External"/><Relationship Id="rId41" Type="http://schemas.openxmlformats.org/officeDocument/2006/relationships/hyperlink" Target="https://docs.google.com/spreadsheets/d/1o6vwVBvE6Z7myDFppwa2RJsa6YPjVH0-b9PUnirsfRE/edit" TargetMode="External"/><Relationship Id="rId54" Type="http://schemas.openxmlformats.org/officeDocument/2006/relationships/hyperlink" Target="https://docs.google.com/spreadsheets/d/1o6vwVBvE6Z7myDFppwa2RJsa6YPjVH0-b9PUnirsfRE/edit" TargetMode="External"/><Relationship Id="rId62" Type="http://schemas.openxmlformats.org/officeDocument/2006/relationships/hyperlink" Target="https://docs.google.com/spreadsheets/d/1o6vwVBvE6Z7myDFppwa2RJsa6YPjVH0-b9PUnirsfRE/edit" TargetMode="External"/><Relationship Id="rId70" Type="http://schemas.openxmlformats.org/officeDocument/2006/relationships/hyperlink" Target="https://docs.google.com/spreadsheets/d/1o6vwVBvE6Z7myDFppwa2RJsa6YPjVH0-b9PUnirsfRE/e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iki.homebrewersassociation.org/AHA-National-Homebrew-Competition-Winners-Circle" TargetMode="Externa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owneandbitter.com/2015/10/autumn-2015-blending-pale-sour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A2" sqref="A2"/>
    </sheetView>
  </sheetViews>
  <sheetFormatPr defaultColWidth="15.140625" defaultRowHeight="15.75" customHeight="1" x14ac:dyDescent="0.25"/>
  <sheetData>
    <row r="1" spans="1:10" ht="15.75" customHeight="1" x14ac:dyDescent="0.25">
      <c r="A1" s="1" t="s">
        <v>0</v>
      </c>
      <c r="E1" s="1" t="s">
        <v>1</v>
      </c>
      <c r="I1" s="1" t="s">
        <v>2</v>
      </c>
    </row>
    <row r="2" spans="1:10" ht="15.75" customHeight="1" x14ac:dyDescent="0.25">
      <c r="B2" s="2" t="str">
        <f>HYPERLINK("https://docs.google.com/spreadsheets/d/1o6vwVBvE6Z7myDFppwa2RJsa6YPjVH0-b9PUnirsfRE/edit#gid=1369313921","1A. Lite American Lager")</f>
        <v>1A. Lite American Lager</v>
      </c>
      <c r="F2" s="2" t="str">
        <f>HYPERLINK("https://docs.google.com/spreadsheets/d/1o6vwVBvE6Z7myDFppwa2RJsa6YPjVH0-b9PUnirsfRE/edit#gid=465534508","8A. Standard/Ordinary Bitter")</f>
        <v>8A. Standard/Ordinary Bitter</v>
      </c>
      <c r="J2" s="2" t="str">
        <f>HYPERLINK("https://docs.google.com/spreadsheets/d/1o6vwVBvE6Z7myDFppwa2RJsa6YPjVH0-b9PUnirsfRE/edit#gid=1538416794","15A. Weizen/Weissbier")</f>
        <v>15A. Weizen/Weissbier</v>
      </c>
    </row>
    <row r="3" spans="1:10" ht="15.75" customHeight="1" x14ac:dyDescent="0.25">
      <c r="B3" s="2" t="str">
        <f>HYPERLINK("https://docs.google.com/spreadsheets/d/1o6vwVBvE6Z7myDFppwa2RJsa6YPjVH0-b9PUnirsfRE/edit#gid=975759964","1B. Standard American Lager")</f>
        <v>1B. Standard American Lager</v>
      </c>
      <c r="F3" s="2" t="str">
        <f>HYPERLINK("https://docs.google.com/spreadsheets/d/1o6vwVBvE6Z7myDFppwa2RJsa6YPjVH0-b9PUnirsfRE/edit#gid=1058769690","8B. Special /Best/Premium Bitter")</f>
        <v>8B. Special /Best/Premium Bitter</v>
      </c>
      <c r="J3" s="1" t="s">
        <v>3</v>
      </c>
    </row>
    <row r="4" spans="1:10" ht="15.75" customHeight="1" x14ac:dyDescent="0.25">
      <c r="B4" s="1" t="s">
        <v>4</v>
      </c>
      <c r="F4" s="2" t="str">
        <f>HYPERLINK("https://docs.google.com/spreadsheets/d/1o6vwVBvE6Z7myDFppwa2RJsa6YPjVH0-b9PUnirsfRE/edit#gid=968895205","8C. Extra Special/Strong Bitter (English Pale Ale)")</f>
        <v>8C. Extra Special/Strong Bitter (English Pale Ale)</v>
      </c>
      <c r="J4" s="2" t="str">
        <f>HYPERLINK("https://docs.google.com/spreadsheets/d/1o6vwVBvE6Z7myDFppwa2RJsa6YPjVH0-b9PUnirsfRE/edit#gid=363946898","15C. Weizenbock")</f>
        <v>15C. Weizenbock</v>
      </c>
    </row>
    <row r="5" spans="1:10" ht="15.75" customHeight="1" x14ac:dyDescent="0.25">
      <c r="B5" s="2" t="str">
        <f>HYPERLINK("https://docs.google.com/spreadsheets/d/1o6vwVBvE6Z7myDFppwa2RJsa6YPjVH0-b9PUnirsfRE/edit#gid=1140489840","1D. Munich Helles")</f>
        <v>1D. Munich Helles</v>
      </c>
      <c r="E5" s="1" t="s">
        <v>18</v>
      </c>
      <c r="J5" s="2" t="str">
        <f>HYPERLINK("https://docs.google.com/spreadsheets/d/1o6vwVBvE6Z7myDFppwa2RJsa6YPjVH0-b9PUnirsfRE/edit#gid=792860757","15D. Roggenbier (German Rye Beer)")</f>
        <v>15D. Roggenbier (German Rye Beer)</v>
      </c>
    </row>
    <row r="6" spans="1:10" ht="15.75" customHeight="1" x14ac:dyDescent="0.25">
      <c r="B6" s="2" t="str">
        <f>HYPERLINK("https://docs.google.com/spreadsheets/d/1o6vwVBvE6Z7myDFppwa2RJsa6YPjVH0-b9PUnirsfRE/edit#gid=762426036","1E. Dortmunder Export")</f>
        <v>1E. Dortmunder Export</v>
      </c>
      <c r="F6" s="2" t="str">
        <f>HYPERLINK("https://docs.google.com/spreadsheets/d/1o6vwVBvE6Z7myDFppwa2RJsa6YPjVH0-b9PUnirsfRE/edit#gid=114651043","9A. Scottish Light 60/-")</f>
        <v>9A. Scottish Light 60/-</v>
      </c>
      <c r="I6" s="1" t="s">
        <v>22</v>
      </c>
    </row>
    <row r="7" spans="1:10" ht="15.75" customHeight="1" x14ac:dyDescent="0.25">
      <c r="A7" s="1" t="s">
        <v>23</v>
      </c>
      <c r="F7" s="2" t="str">
        <f>HYPERLINK("https://docs.google.com/spreadsheets/d/1o6vwVBvE6Z7myDFppwa2RJsa6YPjVH0-b9PUnirsfRE/edit#gid=851080536","9B. Scottish Heavy 70/-")</f>
        <v>9B. Scottish Heavy 70/-</v>
      </c>
      <c r="J7" s="2" t="str">
        <f>HYPERLINK("https://docs.google.com/spreadsheets/d/1o6vwVBvE6Z7myDFppwa2RJsa6YPjVH0-b9PUnirsfRE/edit#gid=1788526028","16A. Witbier")</f>
        <v>16A. Witbier</v>
      </c>
    </row>
    <row r="8" spans="1:10" ht="15.75" customHeight="1" x14ac:dyDescent="0.25">
      <c r="B8" s="2" t="str">
        <f>HYPERLINK("https://docs.google.com/spreadsheets/d/1o6vwVBvE6Z7myDFppwa2RJsa6YPjVH0-b9PUnirsfRE/edit#gid=91766440","2A. German Pilsner (Pils)")</f>
        <v>2A. German Pilsner (Pils)</v>
      </c>
      <c r="F8" s="2" t="str">
        <f>HYPERLINK("https://docs.google.com/spreadsheets/d/1o6vwVBvE6Z7myDFppwa2RJsa6YPjVH0-b9PUnirsfRE/edit#gid=1658769213","9C. Scottish Export 80/-")</f>
        <v>9C. Scottish Export 80/-</v>
      </c>
      <c r="J8" s="1" t="s">
        <v>29</v>
      </c>
    </row>
    <row r="9" spans="1:10" ht="15.75" customHeight="1" x14ac:dyDescent="0.25">
      <c r="B9" s="2" t="str">
        <f>HYPERLINK("https://docs.google.com/spreadsheets/d/1o6vwVBvE6Z7myDFppwa2RJsa6YPjVH0-b9PUnirsfRE/edit#gid=157923740","2B. Bohemian Pilsner")</f>
        <v>2B. Bohemian Pilsner</v>
      </c>
      <c r="F9" s="1" t="s">
        <v>30</v>
      </c>
      <c r="J9" s="2" t="str">
        <f>HYPERLINK("https://docs.google.com/spreadsheets/d/1o6vwVBvE6Z7myDFppwa2RJsa6YPjVH0-b9PUnirsfRE/edit#gid=1219995100","16C. Saison")</f>
        <v>16C. Saison</v>
      </c>
    </row>
    <row r="10" spans="1:10" ht="15.75" customHeight="1" x14ac:dyDescent="0.25">
      <c r="B10" s="2" t="str">
        <f>HYPERLINK("https://docs.google.com/spreadsheets/d/1o6vwVBvE6Z7myDFppwa2RJsa6YPjVH0-b9PUnirsfRE/edit#gid=992900963","2C. Classic American Pilsner")</f>
        <v>2C. Classic American Pilsner</v>
      </c>
      <c r="F10" s="2" t="str">
        <f>HYPERLINK("https://docs.google.com/spreadsheets/d/1o6vwVBvE6Z7myDFppwa2RJsa6YPjVH0-b9PUnirsfRE/edit#gid=1645825087","9E. Strong Scotch Ale")</f>
        <v>9E. Strong Scotch Ale</v>
      </c>
      <c r="J10" s="2" t="str">
        <f>HYPERLINK("https://docs.google.com/spreadsheets/d/1o6vwVBvE6Z7myDFppwa2RJsa6YPjVH0-b9PUnirsfRE/edit#gid=424885293","16D. Biere de Garde")</f>
        <v>16D. Biere de Garde</v>
      </c>
    </row>
    <row r="11" spans="1:10" ht="15.75" customHeight="1" x14ac:dyDescent="0.25">
      <c r="A11" s="1" t="s">
        <v>35</v>
      </c>
      <c r="E11" s="1" t="s">
        <v>37</v>
      </c>
      <c r="J11" s="2" t="str">
        <f>HYPERLINK("https://docs.google.com/spreadsheets/d/1o6vwVBvE6Z7myDFppwa2RJsa6YPjVH0-b9PUnirsfRE/edit#gid=1996461315","16E. Belgian Specialty Ale")</f>
        <v>16E. Belgian Specialty Ale</v>
      </c>
    </row>
    <row r="12" spans="1:10" ht="15.75" customHeight="1" x14ac:dyDescent="0.25">
      <c r="B12" s="2" t="str">
        <f>HYPERLINK("https://docs.google.com/spreadsheets/d/1o6vwVBvE6Z7myDFppwa2RJsa6YPjVH0-b9PUnirsfRE/edit#gid=1719075245","3A. Vienna Lager")</f>
        <v>3A. Vienna Lager</v>
      </c>
      <c r="F12" s="2" t="str">
        <f>HYPERLINK("https://docs.google.com/spreadsheets/d/1o6vwVBvE6Z7myDFppwa2RJsa6YPjVH0-b9PUnirsfRE/edit#gid=1950619671","10A. American Pale Ale")</f>
        <v>10A. American Pale Ale</v>
      </c>
      <c r="I12" s="1" t="s">
        <v>46</v>
      </c>
    </row>
    <row r="13" spans="1:10" ht="15.75" customHeight="1" x14ac:dyDescent="0.25">
      <c r="B13" s="2" t="str">
        <f>HYPERLINK("https://docs.google.com/spreadsheets/d/1o6vwVBvE6Z7myDFppwa2RJsa6YPjVH0-b9PUnirsfRE/edit#gid=1073342936","3B. Oktoberfest/Marzen")</f>
        <v>3B. Oktoberfest/Marzen</v>
      </c>
      <c r="F13" s="2" t="str">
        <f>HYPERLINK("https://docs.google.com/spreadsheets/d/1o6vwVBvE6Z7myDFppwa2RJsa6YPjVH0-b9PUnirsfRE/edit#gid=1989520597","10B. American Amber Ale")</f>
        <v>10B. American Amber Ale</v>
      </c>
      <c r="J13" s="2" t="str">
        <f>HYPERLINK("https://docs.google.com/spreadsheets/d/1o6vwVBvE6Z7myDFppwa2RJsa6YPjVH0-b9PUnirsfRE/edit#gid=1713205085","17A. Berliner Weisse")</f>
        <v>17A. Berliner Weisse</v>
      </c>
    </row>
    <row r="14" spans="1:10" ht="15.75" customHeight="1" x14ac:dyDescent="0.25">
      <c r="A14" s="1" t="s">
        <v>54</v>
      </c>
      <c r="F14" s="2" t="str">
        <f>HYPERLINK("https://docs.google.com/spreadsheets/d/1o6vwVBvE6Z7myDFppwa2RJsa6YPjVH0-b9PUnirsfRE/edit#gid=557789739","10C. American Brown Ale")</f>
        <v>10C. American Brown Ale</v>
      </c>
      <c r="J14" s="2" t="str">
        <f>HYPERLINK("https://docs.google.com/spreadsheets/d/1o6vwVBvE6Z7myDFppwa2RJsa6YPjVH0-b9PUnirsfRE/edit#gid=722289386","17B. Flanders Red Ale")</f>
        <v>17B. Flanders Red Ale</v>
      </c>
    </row>
    <row r="15" spans="1:10" ht="15.75" customHeight="1" x14ac:dyDescent="0.25">
      <c r="B15" s="2" t="str">
        <f>HYPERLINK("https://docs.google.com/spreadsheets/d/1o6vwVBvE6Z7myDFppwa2RJsa6YPjVH0-b9PUnirsfRE/edit#gid=1912961471","4A. Dark American Lager")</f>
        <v>4A. Dark American Lager</v>
      </c>
      <c r="E15" s="1" t="s">
        <v>60</v>
      </c>
      <c r="J15" s="1" t="s">
        <v>62</v>
      </c>
    </row>
    <row r="16" spans="1:10" ht="15.75" customHeight="1" x14ac:dyDescent="0.25">
      <c r="B16" s="2" t="str">
        <f>HYPERLINK("https://docs.google.com/spreadsheets/d/1o6vwVBvE6Z7myDFppwa2RJsa6YPjVH0-b9PUnirsfRE/edit#gid=1702140814","4B. Munich Dunkel")</f>
        <v>4B. Munich Dunkel</v>
      </c>
      <c r="F16" s="2" t="str">
        <f>HYPERLINK("https://docs.google.com/spreadsheets/d/1o6vwVBvE6Z7myDFppwa2RJsa6YPjVH0-b9PUnirsfRE/edit#gid=913500858","11A. Mild")</f>
        <v>11A. Mild</v>
      </c>
      <c r="J16" s="2" t="str">
        <f>HYPERLINK("https://docs.google.com/spreadsheets/d/1o6vwVBvE6Z7myDFppwa2RJsa6YPjVH0-b9PUnirsfRE/edit#gid=915983724","17D. Straight (Unblended) Lambic")</f>
        <v>17D. Straight (Unblended) Lambic</v>
      </c>
    </row>
    <row r="17" spans="1:10" ht="15.75" customHeight="1" x14ac:dyDescent="0.25">
      <c r="B17" s="2" t="str">
        <f>HYPERLINK("https://docs.google.com/spreadsheets/d/1o6vwVBvE6Z7myDFppwa2RJsa6YPjVH0-b9PUnirsfRE/edit#gid=685121431","4C. Schwarzbier (Black Beer)")</f>
        <v>4C. Schwarzbier (Black Beer)</v>
      </c>
      <c r="F17" s="2" t="str">
        <f>HYPERLINK("https://docs.google.com/spreadsheets/d/1o6vwVBvE6Z7myDFppwa2RJsa6YPjVH0-b9PUnirsfRE/edit#gid=750765247","11B. Southern English Brown")</f>
        <v>11B. Southern English Brown</v>
      </c>
      <c r="J17" s="2" t="str">
        <f>HYPERLINK("https://docs.google.com/spreadsheets/d/1o6vwVBvE6Z7myDFppwa2RJsa6YPjVH0-b9PUnirsfRE/edit#gid=2035639167","17E. Gueuze")</f>
        <v>17E. Gueuze</v>
      </c>
    </row>
    <row r="18" spans="1:10" ht="15.75" customHeight="1" x14ac:dyDescent="0.25">
      <c r="A18" s="1" t="s">
        <v>63</v>
      </c>
      <c r="F18" s="2" t="str">
        <f>HYPERLINK("https://docs.google.com/spreadsheets/d/1o6vwVBvE6Z7myDFppwa2RJsa6YPjVH0-b9PUnirsfRE/edit#gid=1295076173","11C. Northern English Brown Ale")</f>
        <v>11C. Northern English Brown Ale</v>
      </c>
      <c r="J18" s="2" t="str">
        <f>HYPERLINK("https://docs.google.com/spreadsheets/d/1o6vwVBvE6Z7myDFppwa2RJsa6YPjVH0-b9PUnirsfRE/edit#gid=1350520616","17F. Fruit Lambic")</f>
        <v>17F. Fruit Lambic</v>
      </c>
    </row>
    <row r="19" spans="1:10" ht="15.75" customHeight="1" x14ac:dyDescent="0.25">
      <c r="B19" s="2" t="str">
        <f>HYPERLINK("https://docs.google.com/spreadsheets/d/1o6vwVBvE6Z7myDFppwa2RJsa6YPjVH0-b9PUnirsfRE/edit#gid=34421329","5A. Maibock/Helles Bock")</f>
        <v>5A. Maibock/Helles Bock</v>
      </c>
      <c r="E19" s="1" t="s">
        <v>64</v>
      </c>
      <c r="I19" s="1" t="s">
        <v>65</v>
      </c>
    </row>
    <row r="20" spans="1:10" ht="15.75" customHeight="1" x14ac:dyDescent="0.25">
      <c r="B20" s="1" t="s">
        <v>66</v>
      </c>
      <c r="F20" s="2" t="str">
        <f>HYPERLINK("https://docs.google.com/spreadsheets/d/1o6vwVBvE6Z7myDFppwa2RJsa6YPjVH0-b9PUnirsfRE/edit#gid=840923191","12A. Brown Porter")</f>
        <v>12A. Brown Porter</v>
      </c>
      <c r="J20" s="2" t="str">
        <f>HYPERLINK("https://docs.google.com/spreadsheets/d/1o6vwVBvE6Z7myDFppwa2RJsa6YPjVH0-b9PUnirsfRE/edit#gid=672322380","18A. Belgian Blonde Ale")</f>
        <v>18A. Belgian Blonde Ale</v>
      </c>
    </row>
    <row r="21" spans="1:10" ht="15.75" customHeight="1" x14ac:dyDescent="0.25">
      <c r="B21" s="2" t="str">
        <f>HYPERLINK("https://docs.google.com/spreadsheets/d/1o6vwVBvE6Z7myDFppwa2RJsa6YPjVH0-b9PUnirsfRE/edit#gid=351318979","5C. Doppelbock")</f>
        <v>5C. Doppelbock</v>
      </c>
      <c r="F21" s="2" t="str">
        <f>HYPERLINK("https://docs.google.com/spreadsheets/d/1o6vwVBvE6Z7myDFppwa2RJsa6YPjVH0-b9PUnirsfRE/edit#gid=1550147441","12B. Robust Porter")</f>
        <v>12B. Robust Porter</v>
      </c>
      <c r="J21" s="2" t="str">
        <f>HYPERLINK("https://docs.google.com/spreadsheets/d/1o6vwVBvE6Z7myDFppwa2RJsa6YPjVH0-b9PUnirsfRE/edit#gid=1191949769","18B. Belgian Dubbel")</f>
        <v>18B. Belgian Dubbel</v>
      </c>
    </row>
    <row r="22" spans="1:10" ht="15.75" customHeight="1" x14ac:dyDescent="0.25">
      <c r="B22" s="2" t="str">
        <f>HYPERLINK("https://docs.google.com/spreadsheets/d/1o6vwVBvE6Z7myDFppwa2RJsa6YPjVH0-b9PUnirsfRE/edit#gid=50652320","5D. Eisbock")</f>
        <v>5D. Eisbock</v>
      </c>
      <c r="F22" s="2" t="str">
        <f>HYPERLINK("https://docs.google.com/spreadsheets/d/1o6vwVBvE6Z7myDFppwa2RJsa6YPjVH0-b9PUnirsfRE/edit#gid=2091008151","12C. Baltic Porter")</f>
        <v>12C. Baltic Porter</v>
      </c>
      <c r="J22" s="2" t="str">
        <f>HYPERLINK("https://docs.google.com/spreadsheets/d/1o6vwVBvE6Z7myDFppwa2RJsa6YPjVH0-b9PUnirsfRE/edit#gid=65247838","18C. Belgian Tripel")</f>
        <v>18C. Belgian Tripel</v>
      </c>
    </row>
    <row r="23" spans="1:10" ht="15.75" customHeight="1" x14ac:dyDescent="0.25">
      <c r="A23" s="1" t="s">
        <v>67</v>
      </c>
      <c r="E23" s="1" t="s">
        <v>68</v>
      </c>
      <c r="J23" s="2" t="str">
        <f>HYPERLINK("https://docs.google.com/spreadsheets/d/1o6vwVBvE6Z7myDFppwa2RJsa6YPjVH0-b9PUnirsfRE/edit#gid=1147143956","18D. Belgian Golden Strong Ale")</f>
        <v>18D. Belgian Golden Strong Ale</v>
      </c>
    </row>
    <row r="24" spans="1:10" ht="15.75" customHeight="1" x14ac:dyDescent="0.25">
      <c r="B24" s="2" t="str">
        <f>HYPERLINK("https://docs.google.com/spreadsheets/d/1o6vwVBvE6Z7myDFppwa2RJsa6YPjVH0-b9PUnirsfRE/edit#gid=1278272427","6A. Cream Ale")</f>
        <v>6A. Cream Ale</v>
      </c>
      <c r="F24" s="2" t="str">
        <f>HYPERLINK("https://docs.google.com/spreadsheets/d/1o6vwVBvE6Z7myDFppwa2RJsa6YPjVH0-b9PUnirsfRE/edit#gid=706538141","13A. Dry Stout")</f>
        <v>13A. Dry Stout</v>
      </c>
      <c r="J24" s="2" t="str">
        <f>HYPERLINK("https://docs.google.com/spreadsheets/d/1o6vwVBvE6Z7myDFppwa2RJsa6YPjVH0-b9PUnirsfRE/edit#gid=1488548432","18E. Belgian Dark Strong Ale")</f>
        <v>18E. Belgian Dark Strong Ale</v>
      </c>
    </row>
    <row r="25" spans="1:10" ht="15.75" customHeight="1" x14ac:dyDescent="0.25">
      <c r="B25" s="2" t="str">
        <f>HYPERLINK("https://docs.google.com/spreadsheets/d/1o6vwVBvE6Z7myDFppwa2RJsa6YPjVH0-b9PUnirsfRE/edit#gid=287280461","6B Blonde Ale")</f>
        <v>6B Blonde Ale</v>
      </c>
      <c r="F25" s="29" t="str">
        <f>HYPERLINK("https://docs.google.com/spreadsheets/d/1o6vwVBvE6Z7myDFppwa2RJsa6YPjVH0-b9PUnirsfRE/edit#gid=1550147441","13B. Sweet Stout")</f>
        <v>13B. Sweet Stout</v>
      </c>
      <c r="I25" s="1" t="s">
        <v>71</v>
      </c>
    </row>
    <row r="26" spans="1:10" ht="15.75" customHeight="1" x14ac:dyDescent="0.25">
      <c r="B26" s="2" t="str">
        <f>HYPERLINK("https://docs.google.com/spreadsheets/d/1o6vwVBvE6Z7myDFppwa2RJsa6YPjVH0-b9PUnirsfRE/edit#gid=1086865827","6C. Kolsch")</f>
        <v>6C. Kolsch</v>
      </c>
      <c r="F26" s="2" t="str">
        <f>HYPERLINK("https://docs.google.com/spreadsheets/d/1o6vwVBvE6Z7myDFppwa2RJsa6YPjVH0-b9PUnirsfRE/edit#gid=736801440","13C. Oatmeal Stout")</f>
        <v>13C. Oatmeal Stout</v>
      </c>
      <c r="J26" s="2" t="str">
        <f>HYPERLINK("https://docs.google.com/spreadsheets/d/1o6vwVBvE6Z7myDFppwa2RJsa6YPjVH0-b9PUnirsfRE/edit#gid=152575703","19A. Old Ale")</f>
        <v>19A. Old Ale</v>
      </c>
    </row>
    <row r="27" spans="1:10" ht="15.75" customHeight="1" x14ac:dyDescent="0.25">
      <c r="B27" s="2" t="str">
        <f>HYPERLINK("https://docs.google.com/spreadsheets/d/1o6vwVBvE6Z7myDFppwa2RJsa6YPjVH0-b9PUnirsfRE/edit#gid=1850281886","6D. American Wheat or Rye Beer")</f>
        <v>6D. American Wheat or Rye Beer</v>
      </c>
      <c r="F27" s="2" t="str">
        <f>HYPERLINK("https://docs.google.com/spreadsheets/d/1o6vwVBvE6Z7myDFppwa2RJsa6YPjVH0-b9PUnirsfRE/edit#gid=57192006","13D. Foreign Extra Stout")</f>
        <v>13D. Foreign Extra Stout</v>
      </c>
      <c r="J27" s="2" t="str">
        <f>HYPERLINK("https://docs.google.com/spreadsheets/d/1o6vwVBvE6Z7myDFppwa2RJsa6YPjVH0-b9PUnirsfRE/edit#gid=86771178","19B. English Barleywine")</f>
        <v>19B. English Barleywine</v>
      </c>
    </row>
    <row r="28" spans="1:10" ht="15.75" customHeight="1" x14ac:dyDescent="0.25">
      <c r="A28" s="1" t="s">
        <v>73</v>
      </c>
      <c r="F28" s="2" t="str">
        <f>HYPERLINK("https://docs.google.com/spreadsheets/d/1o6vwVBvE6Z7myDFppwa2RJsa6YPjVH0-b9PUnirsfRE/edit#gid=265669550","13E. American Stout")</f>
        <v>13E. American Stout</v>
      </c>
      <c r="J28" s="2" t="str">
        <f>HYPERLINK("https://docs.google.com/spreadsheets/d/1o6vwVBvE6Z7myDFppwa2RJsa6YPjVH0-b9PUnirsfRE/edit#gid=1605036747","19C. American Barleywine")</f>
        <v>19C. American Barleywine</v>
      </c>
    </row>
    <row r="29" spans="1:10" ht="15.75" customHeight="1" x14ac:dyDescent="0.25">
      <c r="B29" s="2" t="str">
        <f>HYPERLINK("https://docs.google.com/spreadsheets/d/1o6vwVBvE6Z7myDFppwa2RJsa6YPjVH0-b9PUnirsfRE/edit#gid=2018950744","7A. Northern German Altbier")</f>
        <v>7A. Northern German Altbier</v>
      </c>
      <c r="F29" s="2" t="str">
        <f>HYPERLINK("https://docs.google.com/spreadsheets/d/1o6vwVBvE6Z7myDFppwa2RJsa6YPjVH0-b9PUnirsfRE/edit#gid=1214798","13F. Russian Imperial Stout")</f>
        <v>13F. Russian Imperial Stout</v>
      </c>
      <c r="I29" s="2" t="str">
        <f>HYPERLINK("https://docs.google.com/spreadsheets/d/1o6vwVBvE6Z7myDFppwa2RJsa6YPjVH0-b9PUnirsfRE/edit#gid=289941612","20. Fruit Beer")</f>
        <v>20. Fruit Beer</v>
      </c>
    </row>
    <row r="30" spans="1:10" ht="15" x14ac:dyDescent="0.25">
      <c r="B30" s="2" t="str">
        <f>HYPERLINK("https://docs.google.com/spreadsheets/d/1o6vwVBvE6Z7myDFppwa2RJsa6YPjVH0-b9PUnirsfRE/edit#gid=152120757","7B. California Common Beer")</f>
        <v>7B. California Common Beer</v>
      </c>
      <c r="E30" s="1" t="s">
        <v>76</v>
      </c>
      <c r="I30" s="1" t="s">
        <v>77</v>
      </c>
    </row>
    <row r="31" spans="1:10" ht="15" x14ac:dyDescent="0.25">
      <c r="B31" s="2" t="str">
        <f>HYPERLINK("https://docs.google.com/spreadsheets/d/1o6vwVBvE6Z7myDFppwa2RJsa6YPjVH0-b9PUnirsfRE/edit#gid=961506742","7C. Dusseldorf Altbier")</f>
        <v>7C. Dusseldorf Altbier</v>
      </c>
      <c r="F31" s="2" t="str">
        <f>HYPERLINK("https://docs.google.com/spreadsheets/d/1o6vwVBvE6Z7myDFppwa2RJsa6YPjVH0-b9PUnirsfRE/edit#gid=1976643897","14A. English IPA")</f>
        <v>14A. English IPA</v>
      </c>
      <c r="J31" s="2" t="str">
        <f>HYPERLINK("https://docs.google.com/spreadsheets/d/1o6vwVBvE6Z7myDFppwa2RJsa6YPjVH0-b9PUnirsfRE/edit#gid=1632542326","21A. Spice, Herb, or Vegetable Beer")</f>
        <v>21A. Spice, Herb, or Vegetable Beer</v>
      </c>
    </row>
    <row r="32" spans="1:10" ht="15" x14ac:dyDescent="0.25">
      <c r="F32" s="2" t="str">
        <f>HYPERLINK("https://docs.google.com/spreadsheets/d/1o6vwVBvE6Z7myDFppwa2RJsa6YPjVH0-b9PUnirsfRE/edit#gid=125997824","14B. American IPA")</f>
        <v>14B. American IPA</v>
      </c>
      <c r="J32" s="1" t="s">
        <v>79</v>
      </c>
    </row>
    <row r="33" spans="6:10" ht="15" x14ac:dyDescent="0.25">
      <c r="F33" s="2" t="str">
        <f>HYPERLINK("https://docs.google.com/spreadsheets/d/1o6vwVBvE6Z7myDFppwa2RJsa6YPjVH0-b9PUnirsfRE/edit#gid=1288059473","14C. Imperial IPA")</f>
        <v>14C. Imperial IPA</v>
      </c>
      <c r="I33" s="1" t="s">
        <v>80</v>
      </c>
    </row>
    <row r="34" spans="6:10" ht="15" x14ac:dyDescent="0.25">
      <c r="J34" s="2" t="str">
        <f>HYPERLINK("https://docs.google.com/spreadsheets/d/1o6vwVBvE6Z7myDFppwa2RJsa6YPjVH0-b9PUnirsfRE/edit#gid=1766044821","22A. Classic Rauchbier")</f>
        <v>22A. Classic Rauchbier</v>
      </c>
    </row>
    <row r="35" spans="6:10" ht="15" x14ac:dyDescent="0.25">
      <c r="J35" s="2" t="str">
        <f>HYPERLINK("https://docs.google.com/spreadsheets/d/1o6vwVBvE6Z7myDFppwa2RJsa6YPjVH0-b9PUnirsfRE/edit#gid=306742741","22B. Other Smoked Beer")</f>
        <v>22B. Other Smoked Beer</v>
      </c>
    </row>
    <row r="36" spans="6:10" ht="15" x14ac:dyDescent="0.25">
      <c r="J36" s="2" t="str">
        <f>HYPERLINK("https://docs.google.com/spreadsheets/d/1o6vwVBvE6Z7myDFppwa2RJsa6YPjVH0-b9PUnirsfRE/edit#gid=333369139","22C. Wood-Aged Beer")</f>
        <v>22C. Wood-Aged Beer</v>
      </c>
    </row>
    <row r="37" spans="6:10" ht="15" x14ac:dyDescent="0.25">
      <c r="I37" s="2" t="str">
        <f>HYPERLINK("https://docs.google.com/spreadsheets/d/1o6vwVBvE6Z7myDFppwa2RJsa6YPjVH0-b9PUnirsfRE/edit#gid=1570404807","23. Specialty Beer")</f>
        <v>23. Specialty Beer</v>
      </c>
    </row>
  </sheetData>
  <hyperlinks>
    <hyperlink ref="B2" r:id="rId1" location="gid=1369313921" display="https://docs.google.com/spreadsheets/d/1o6vwVBvE6Z7myDFppwa2RJsa6YPjVH0-b9PUnirsfRE/edit - gid=1369313921"/>
    <hyperlink ref="F2" r:id="rId2" location="gid=465534508" display="https://docs.google.com/spreadsheets/d/1o6vwVBvE6Z7myDFppwa2RJsa6YPjVH0-b9PUnirsfRE/edit - gid=465534508"/>
    <hyperlink ref="J2" r:id="rId3" location="gid=1538416794" display="https://docs.google.com/spreadsheets/d/1o6vwVBvE6Z7myDFppwa2RJsa6YPjVH0-b9PUnirsfRE/edit - gid=1538416794"/>
    <hyperlink ref="B3" r:id="rId4" location="gid=975759964" display="https://docs.google.com/spreadsheets/d/1o6vwVBvE6Z7myDFppwa2RJsa6YPjVH0-b9PUnirsfRE/edit - gid=975759964"/>
    <hyperlink ref="F3" r:id="rId5" location="gid=1058769690" display="https://docs.google.com/spreadsheets/d/1o6vwVBvE6Z7myDFppwa2RJsa6YPjVH0-b9PUnirsfRE/edit - gid=1058769690"/>
    <hyperlink ref="F4" r:id="rId6" location="gid=968895205" display="https://docs.google.com/spreadsheets/d/1o6vwVBvE6Z7myDFppwa2RJsa6YPjVH0-b9PUnirsfRE/edit - gid=968895205"/>
    <hyperlink ref="J4" r:id="rId7" location="gid=363946898" display="https://docs.google.com/spreadsheets/d/1o6vwVBvE6Z7myDFppwa2RJsa6YPjVH0-b9PUnirsfRE/edit - gid=363946898"/>
    <hyperlink ref="B5" r:id="rId8" location="gid=1140489840" display="https://docs.google.com/spreadsheets/d/1o6vwVBvE6Z7myDFppwa2RJsa6YPjVH0-b9PUnirsfRE/edit - gid=1140489840"/>
    <hyperlink ref="J5" r:id="rId9" location="gid=792860757" display="https://docs.google.com/spreadsheets/d/1o6vwVBvE6Z7myDFppwa2RJsa6YPjVH0-b9PUnirsfRE/edit - gid=792860757"/>
    <hyperlink ref="B6" r:id="rId10" location="gid=762426036" display="https://docs.google.com/spreadsheets/d/1o6vwVBvE6Z7myDFppwa2RJsa6YPjVH0-b9PUnirsfRE/edit - gid=762426036"/>
    <hyperlink ref="F6" r:id="rId11" location="gid=114651043" display="https://docs.google.com/spreadsheets/d/1o6vwVBvE6Z7myDFppwa2RJsa6YPjVH0-b9PUnirsfRE/edit - gid=114651043"/>
    <hyperlink ref="F7" r:id="rId12" location="gid=851080536" display="https://docs.google.com/spreadsheets/d/1o6vwVBvE6Z7myDFppwa2RJsa6YPjVH0-b9PUnirsfRE/edit - gid=851080536"/>
    <hyperlink ref="J7" r:id="rId13" location="gid=1788526028" display="https://docs.google.com/spreadsheets/d/1o6vwVBvE6Z7myDFppwa2RJsa6YPjVH0-b9PUnirsfRE/edit - gid=1788526028"/>
    <hyperlink ref="B8" r:id="rId14" location="gid=91766440" display="https://docs.google.com/spreadsheets/d/1o6vwVBvE6Z7myDFppwa2RJsa6YPjVH0-b9PUnirsfRE/edit - gid=91766440"/>
    <hyperlink ref="F8" r:id="rId15" location="gid=1658769213" display="https://docs.google.com/spreadsheets/d/1o6vwVBvE6Z7myDFppwa2RJsa6YPjVH0-b9PUnirsfRE/edit - gid=1658769213"/>
    <hyperlink ref="B9" r:id="rId16" location="gid=157923740" display="https://docs.google.com/spreadsheets/d/1o6vwVBvE6Z7myDFppwa2RJsa6YPjVH0-b9PUnirsfRE/edit - gid=157923740"/>
    <hyperlink ref="J9" r:id="rId17" location="gid=1219995100" display="https://docs.google.com/spreadsheets/d/1o6vwVBvE6Z7myDFppwa2RJsa6YPjVH0-b9PUnirsfRE/edit - gid=1219995100"/>
    <hyperlink ref="B10" r:id="rId18" location="gid=992900963" display="https://docs.google.com/spreadsheets/d/1o6vwVBvE6Z7myDFppwa2RJsa6YPjVH0-b9PUnirsfRE/edit - gid=992900963"/>
    <hyperlink ref="F10" r:id="rId19" location="gid=1645825087" display="https://docs.google.com/spreadsheets/d/1o6vwVBvE6Z7myDFppwa2RJsa6YPjVH0-b9PUnirsfRE/edit - gid=1645825087"/>
    <hyperlink ref="J10" r:id="rId20" location="gid=424885293" display="https://docs.google.com/spreadsheets/d/1o6vwVBvE6Z7myDFppwa2RJsa6YPjVH0-b9PUnirsfRE/edit - gid=424885293"/>
    <hyperlink ref="J11" r:id="rId21" location="gid=1996461315" display="https://docs.google.com/spreadsheets/d/1o6vwVBvE6Z7myDFppwa2RJsa6YPjVH0-b9PUnirsfRE/edit - gid=1996461315"/>
    <hyperlink ref="B12" r:id="rId22" location="gid=1719075245" display="https://docs.google.com/spreadsheets/d/1o6vwVBvE6Z7myDFppwa2RJsa6YPjVH0-b9PUnirsfRE/edit - gid=1719075245"/>
    <hyperlink ref="F12" r:id="rId23" location="gid=1950619671" display="https://docs.google.com/spreadsheets/d/1o6vwVBvE6Z7myDFppwa2RJsa6YPjVH0-b9PUnirsfRE/edit - gid=1950619671"/>
    <hyperlink ref="B13" r:id="rId24" location="gid=1073342936" display="https://docs.google.com/spreadsheets/d/1o6vwVBvE6Z7myDFppwa2RJsa6YPjVH0-b9PUnirsfRE/edit - gid=1073342936"/>
    <hyperlink ref="F13" r:id="rId25" location="gid=1989520597" display="https://docs.google.com/spreadsheets/d/1o6vwVBvE6Z7myDFppwa2RJsa6YPjVH0-b9PUnirsfRE/edit - gid=1989520597"/>
    <hyperlink ref="J13" r:id="rId26" location="gid=1713205085" display="https://docs.google.com/spreadsheets/d/1o6vwVBvE6Z7myDFppwa2RJsa6YPjVH0-b9PUnirsfRE/edit - gid=1713205085"/>
    <hyperlink ref="F14" r:id="rId27" location="gid=557789739" display="https://docs.google.com/spreadsheets/d/1o6vwVBvE6Z7myDFppwa2RJsa6YPjVH0-b9PUnirsfRE/edit - gid=557789739"/>
    <hyperlink ref="J14" r:id="rId28" location="gid=722289386" display="https://docs.google.com/spreadsheets/d/1o6vwVBvE6Z7myDFppwa2RJsa6YPjVH0-b9PUnirsfRE/edit - gid=722289386"/>
    <hyperlink ref="B15" r:id="rId29" location="gid=1912961471" display="https://docs.google.com/spreadsheets/d/1o6vwVBvE6Z7myDFppwa2RJsa6YPjVH0-b9PUnirsfRE/edit - gid=1912961471"/>
    <hyperlink ref="B16" r:id="rId30" location="gid=1702140814" display="https://docs.google.com/spreadsheets/d/1o6vwVBvE6Z7myDFppwa2RJsa6YPjVH0-b9PUnirsfRE/edit - gid=1702140814"/>
    <hyperlink ref="F16" r:id="rId31" location="gid=913500858" display="https://docs.google.com/spreadsheets/d/1o6vwVBvE6Z7myDFppwa2RJsa6YPjVH0-b9PUnirsfRE/edit - gid=913500858"/>
    <hyperlink ref="J16" r:id="rId32" location="gid=915983724" display="https://docs.google.com/spreadsheets/d/1o6vwVBvE6Z7myDFppwa2RJsa6YPjVH0-b9PUnirsfRE/edit - gid=915983724"/>
    <hyperlink ref="B17" r:id="rId33" location="gid=685121431" display="https://docs.google.com/spreadsheets/d/1o6vwVBvE6Z7myDFppwa2RJsa6YPjVH0-b9PUnirsfRE/edit - gid=685121431"/>
    <hyperlink ref="F17" r:id="rId34" location="gid=750765247" display="https://docs.google.com/spreadsheets/d/1o6vwVBvE6Z7myDFppwa2RJsa6YPjVH0-b9PUnirsfRE/edit - gid=750765247"/>
    <hyperlink ref="J17" r:id="rId35" location="gid=2035639167" display="https://docs.google.com/spreadsheets/d/1o6vwVBvE6Z7myDFppwa2RJsa6YPjVH0-b9PUnirsfRE/edit - gid=2035639167"/>
    <hyperlink ref="F18" r:id="rId36" location="gid=1295076173" display="https://docs.google.com/spreadsheets/d/1o6vwVBvE6Z7myDFppwa2RJsa6YPjVH0-b9PUnirsfRE/edit - gid=1295076173"/>
    <hyperlink ref="J18" r:id="rId37" location="gid=1350520616" display="https://docs.google.com/spreadsheets/d/1o6vwVBvE6Z7myDFppwa2RJsa6YPjVH0-b9PUnirsfRE/edit - gid=1350520616"/>
    <hyperlink ref="B19" r:id="rId38" location="gid=34421329" display="https://docs.google.com/spreadsheets/d/1o6vwVBvE6Z7myDFppwa2RJsa6YPjVH0-b9PUnirsfRE/edit - gid=34421329"/>
    <hyperlink ref="F20" r:id="rId39" location="gid=840923191" display="https://docs.google.com/spreadsheets/d/1o6vwVBvE6Z7myDFppwa2RJsa6YPjVH0-b9PUnirsfRE/edit - gid=840923191"/>
    <hyperlink ref="J20" r:id="rId40" location="gid=672322380" display="https://docs.google.com/spreadsheets/d/1o6vwVBvE6Z7myDFppwa2RJsa6YPjVH0-b9PUnirsfRE/edit - gid=672322380"/>
    <hyperlink ref="B21" r:id="rId41" location="gid=351318979" display="https://docs.google.com/spreadsheets/d/1o6vwVBvE6Z7myDFppwa2RJsa6YPjVH0-b9PUnirsfRE/edit - gid=351318979"/>
    <hyperlink ref="F21" r:id="rId42" location="gid=1550147441" display="https://docs.google.com/spreadsheets/d/1o6vwVBvE6Z7myDFppwa2RJsa6YPjVH0-b9PUnirsfRE/edit - gid=1550147441"/>
    <hyperlink ref="J21" r:id="rId43" location="gid=1191949769" display="https://docs.google.com/spreadsheets/d/1o6vwVBvE6Z7myDFppwa2RJsa6YPjVH0-b9PUnirsfRE/edit - gid=1191949769"/>
    <hyperlink ref="B22" r:id="rId44" location="gid=50652320" display="https://docs.google.com/spreadsheets/d/1o6vwVBvE6Z7myDFppwa2RJsa6YPjVH0-b9PUnirsfRE/edit - gid=50652320"/>
    <hyperlink ref="F22" r:id="rId45" location="gid=2091008151" display="https://docs.google.com/spreadsheets/d/1o6vwVBvE6Z7myDFppwa2RJsa6YPjVH0-b9PUnirsfRE/edit - gid=2091008151"/>
    <hyperlink ref="J22" r:id="rId46" location="gid=65247838" display="https://docs.google.com/spreadsheets/d/1o6vwVBvE6Z7myDFppwa2RJsa6YPjVH0-b9PUnirsfRE/edit - gid=65247838"/>
    <hyperlink ref="J23" r:id="rId47" location="gid=1147143956" display="https://docs.google.com/spreadsheets/d/1o6vwVBvE6Z7myDFppwa2RJsa6YPjVH0-b9PUnirsfRE/edit - gid=1147143956"/>
    <hyperlink ref="B24" r:id="rId48" location="gid=1278272427" display="https://docs.google.com/spreadsheets/d/1o6vwVBvE6Z7myDFppwa2RJsa6YPjVH0-b9PUnirsfRE/edit - gid=1278272427"/>
    <hyperlink ref="F24" r:id="rId49" location="gid=706538141" display="https://docs.google.com/spreadsheets/d/1o6vwVBvE6Z7myDFppwa2RJsa6YPjVH0-b9PUnirsfRE/edit - gid=706538141"/>
    <hyperlink ref="J24" r:id="rId50" location="gid=1488548432" display="https://docs.google.com/spreadsheets/d/1o6vwVBvE6Z7myDFppwa2RJsa6YPjVH0-b9PUnirsfRE/edit - gid=1488548432"/>
    <hyperlink ref="B25" r:id="rId51" location="gid=287280461" display="https://docs.google.com/spreadsheets/d/1o6vwVBvE6Z7myDFppwa2RJsa6YPjVH0-b9PUnirsfRE/edit - gid=287280461"/>
    <hyperlink ref="B26" r:id="rId52" location="gid=1086865827" display="https://docs.google.com/spreadsheets/d/1o6vwVBvE6Z7myDFppwa2RJsa6YPjVH0-b9PUnirsfRE/edit - gid=1086865827"/>
    <hyperlink ref="F26" r:id="rId53" location="gid=736801440" display="https://docs.google.com/spreadsheets/d/1o6vwVBvE6Z7myDFppwa2RJsa6YPjVH0-b9PUnirsfRE/edit - gid=736801440"/>
    <hyperlink ref="J26" r:id="rId54" location="gid=152575703" display="https://docs.google.com/spreadsheets/d/1o6vwVBvE6Z7myDFppwa2RJsa6YPjVH0-b9PUnirsfRE/edit - gid=152575703"/>
    <hyperlink ref="B27" r:id="rId55" location="gid=1850281886" display="https://docs.google.com/spreadsheets/d/1o6vwVBvE6Z7myDFppwa2RJsa6YPjVH0-b9PUnirsfRE/edit - gid=1850281886"/>
    <hyperlink ref="F27" r:id="rId56" location="gid=57192006" display="https://docs.google.com/spreadsheets/d/1o6vwVBvE6Z7myDFppwa2RJsa6YPjVH0-b9PUnirsfRE/edit - gid=57192006"/>
    <hyperlink ref="J27" r:id="rId57" location="gid=86771178" display="https://docs.google.com/spreadsheets/d/1o6vwVBvE6Z7myDFppwa2RJsa6YPjVH0-b9PUnirsfRE/edit - gid=86771178"/>
    <hyperlink ref="F28" r:id="rId58" location="gid=265669550" display="https://docs.google.com/spreadsheets/d/1o6vwVBvE6Z7myDFppwa2RJsa6YPjVH0-b9PUnirsfRE/edit - gid=265669550"/>
    <hyperlink ref="J28" r:id="rId59" location="gid=1605036747" display="https://docs.google.com/spreadsheets/d/1o6vwVBvE6Z7myDFppwa2RJsa6YPjVH0-b9PUnirsfRE/edit - gid=1605036747"/>
    <hyperlink ref="B29" r:id="rId60" location="gid=2018950744" display="https://docs.google.com/spreadsheets/d/1o6vwVBvE6Z7myDFppwa2RJsa6YPjVH0-b9PUnirsfRE/edit - gid=2018950744"/>
    <hyperlink ref="F29" r:id="rId61" location="gid=1214798" display="https://docs.google.com/spreadsheets/d/1o6vwVBvE6Z7myDFppwa2RJsa6YPjVH0-b9PUnirsfRE/edit - gid=1214798"/>
    <hyperlink ref="I29" r:id="rId62" location="gid=289941612" display="https://docs.google.com/spreadsheets/d/1o6vwVBvE6Z7myDFppwa2RJsa6YPjVH0-b9PUnirsfRE/edit - gid=289941612"/>
    <hyperlink ref="B30" r:id="rId63" location="gid=152120757" display="https://docs.google.com/spreadsheets/d/1o6vwVBvE6Z7myDFppwa2RJsa6YPjVH0-b9PUnirsfRE/edit - gid=152120757"/>
    <hyperlink ref="B31" r:id="rId64" location="gid=961506742" display="https://docs.google.com/spreadsheets/d/1o6vwVBvE6Z7myDFppwa2RJsa6YPjVH0-b9PUnirsfRE/edit - gid=961506742"/>
    <hyperlink ref="F31" r:id="rId65" location="gid=1976643897" display="https://docs.google.com/spreadsheets/d/1o6vwVBvE6Z7myDFppwa2RJsa6YPjVH0-b9PUnirsfRE/edit - gid=1976643897"/>
    <hyperlink ref="J31" r:id="rId66" location="gid=1632542326" display="https://docs.google.com/spreadsheets/d/1o6vwVBvE6Z7myDFppwa2RJsa6YPjVH0-b9PUnirsfRE/edit - gid=1632542326"/>
    <hyperlink ref="F32" r:id="rId67" location="gid=125997824" display="https://docs.google.com/spreadsheets/d/1o6vwVBvE6Z7myDFppwa2RJsa6YPjVH0-b9PUnirsfRE/edit - gid=125997824"/>
    <hyperlink ref="F33" r:id="rId68" location="gid=1288059473" display="https://docs.google.com/spreadsheets/d/1o6vwVBvE6Z7myDFppwa2RJsa6YPjVH0-b9PUnirsfRE/edit - gid=1288059473"/>
    <hyperlink ref="J34" r:id="rId69" location="gid=1766044821" display="https://docs.google.com/spreadsheets/d/1o6vwVBvE6Z7myDFppwa2RJsa6YPjVH0-b9PUnirsfRE/edit - gid=1766044821"/>
    <hyperlink ref="J35" r:id="rId70" location="gid=306742741" display="https://docs.google.com/spreadsheets/d/1o6vwVBvE6Z7myDFppwa2RJsa6YPjVH0-b9PUnirsfRE/edit - gid=306742741"/>
    <hyperlink ref="J36" r:id="rId71" location="gid=333369139" display="https://docs.google.com/spreadsheets/d/1o6vwVBvE6Z7myDFppwa2RJsa6YPjVH0-b9PUnirsfRE/edit - gid=333369139"/>
    <hyperlink ref="I37" r:id="rId72" location="gid=1570404807" display="https://docs.google.com/spreadsheets/d/1o6vwVBvE6Z7myDFppwa2RJsa6YPjVH0-b9PUnirsfRE/edit - gid=157040480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6.5703125" customWidth="1"/>
    <col min="2" max="2" width="15.5703125" customWidth="1"/>
    <col min="3" max="3" width="14.5703125" customWidth="1"/>
    <col min="4" max="4" width="12" customWidth="1"/>
    <col min="5" max="5" width="11.140625" customWidth="1"/>
    <col min="6" max="6" width="11.7109375" customWidth="1"/>
    <col min="7" max="7" width="11.5703125" customWidth="1"/>
    <col min="8" max="8" width="11.140625" customWidth="1"/>
    <col min="9" max="10" width="9.28515625" customWidth="1"/>
  </cols>
  <sheetData>
    <row r="1" spans="1:10" ht="23.25" customHeight="1" x14ac:dyDescent="0.35">
      <c r="A1" s="3" t="s">
        <v>110</v>
      </c>
      <c r="B1" s="3"/>
      <c r="C1" s="3"/>
      <c r="D1" s="4"/>
      <c r="E1" s="4"/>
      <c r="F1" s="4"/>
      <c r="G1" s="4"/>
      <c r="H1" s="4"/>
      <c r="I1" s="4"/>
      <c r="J1" s="4"/>
    </row>
    <row r="2" spans="1:10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3.25" customHeight="1" x14ac:dyDescent="0.35">
      <c r="A3" s="4"/>
      <c r="B3" s="5">
        <v>2000</v>
      </c>
      <c r="C3" s="5">
        <v>2002</v>
      </c>
      <c r="D3" s="7">
        <v>2004</v>
      </c>
      <c r="E3" s="28">
        <v>2005</v>
      </c>
      <c r="F3" s="7">
        <v>2008</v>
      </c>
      <c r="G3" s="7">
        <v>2011</v>
      </c>
      <c r="H3" s="7">
        <v>2012</v>
      </c>
      <c r="I3" s="5">
        <v>2015</v>
      </c>
      <c r="J3" s="5">
        <v>2016</v>
      </c>
    </row>
    <row r="4" spans="1:10" ht="15" customHeight="1" x14ac:dyDescent="0.25">
      <c r="A4" s="8" t="s">
        <v>19</v>
      </c>
      <c r="B4" s="10">
        <f>4/10.625</f>
        <v>0.37647058823529411</v>
      </c>
      <c r="C4" s="10">
        <f>3.5/11.5</f>
        <v>0.30434782608695654</v>
      </c>
      <c r="D4" s="10"/>
      <c r="E4" s="30">
        <f>14/22</f>
        <v>0.63636363636363635</v>
      </c>
      <c r="F4" s="10"/>
      <c r="G4" s="10">
        <f>6/20.718</f>
        <v>0.28960324355632783</v>
      </c>
      <c r="H4" s="10">
        <f>17/22.5</f>
        <v>0.75555555555555554</v>
      </c>
      <c r="I4" s="21">
        <v>0.16800000000000001</v>
      </c>
      <c r="J4" s="39">
        <f>4.62/12.16</f>
        <v>0.37993421052631582</v>
      </c>
    </row>
    <row r="5" spans="1:10" ht="15" customHeight="1" x14ac:dyDescent="0.25">
      <c r="A5" s="8" t="s">
        <v>82</v>
      </c>
      <c r="B5" s="10">
        <f>5/10.625</f>
        <v>0.47058823529411764</v>
      </c>
      <c r="C5" s="10"/>
      <c r="D5" s="10">
        <f>5.5/10.51</f>
        <v>0.52331113225499526</v>
      </c>
      <c r="E5" s="30">
        <f t="shared" ref="E5:E6" si="0">2/22</f>
        <v>9.0909090909090912E-2</v>
      </c>
      <c r="F5" s="10">
        <f>4.5/5.125</f>
        <v>0.87804878048780488</v>
      </c>
      <c r="G5" s="10">
        <f>8.75/20.718</f>
        <v>0.42233806351964476</v>
      </c>
      <c r="H5" s="10"/>
      <c r="I5" s="21">
        <v>0.71199999999999997</v>
      </c>
      <c r="J5" s="21">
        <v>0.38</v>
      </c>
    </row>
    <row r="6" spans="1:10" ht="15" customHeight="1" x14ac:dyDescent="0.25">
      <c r="A6" s="8" t="s">
        <v>24</v>
      </c>
      <c r="B6" s="10"/>
      <c r="C6" s="10">
        <f>7/11.5</f>
        <v>0.60869565217391308</v>
      </c>
      <c r="D6" s="10">
        <f>4/10.51</f>
        <v>0.3805899143672693</v>
      </c>
      <c r="E6" s="30">
        <f t="shared" si="0"/>
        <v>9.0909090909090912E-2</v>
      </c>
      <c r="F6" s="10"/>
      <c r="G6" s="10">
        <f>5.25/20.718</f>
        <v>0.25340283811178688</v>
      </c>
      <c r="H6" s="10"/>
      <c r="I6" s="21">
        <v>8.3000000000000004E-2</v>
      </c>
      <c r="J6" s="21"/>
    </row>
    <row r="7" spans="1:10" ht="15" customHeight="1" x14ac:dyDescent="0.25">
      <c r="A7" s="8" t="s">
        <v>118</v>
      </c>
      <c r="B7" s="10"/>
      <c r="C7" s="10"/>
      <c r="D7" s="10">
        <f>0.5/10.51</f>
        <v>4.7573739295908662E-2</v>
      </c>
      <c r="E7" s="30"/>
      <c r="F7" s="10"/>
      <c r="G7" s="10"/>
      <c r="H7" s="10"/>
      <c r="I7" s="10"/>
      <c r="J7" s="10"/>
    </row>
    <row r="8" spans="1:10" ht="15" customHeight="1" x14ac:dyDescent="0.25">
      <c r="A8" s="8" t="s">
        <v>119</v>
      </c>
      <c r="B8" s="10">
        <f>0.375/10.625</f>
        <v>3.5294117647058823E-2</v>
      </c>
      <c r="C8" s="10"/>
      <c r="D8" s="10">
        <f>0.38/10.51</f>
        <v>3.6156041864890583E-2</v>
      </c>
      <c r="E8" s="30"/>
      <c r="F8" s="10"/>
      <c r="G8" s="10"/>
      <c r="H8" s="10"/>
      <c r="I8" s="10"/>
      <c r="J8" s="10"/>
    </row>
    <row r="9" spans="1:10" ht="15" customHeight="1" x14ac:dyDescent="0.25">
      <c r="A9" s="8" t="s">
        <v>120</v>
      </c>
      <c r="B9" s="10"/>
      <c r="C9" s="10"/>
      <c r="D9" s="10">
        <f>0.13/10.51</f>
        <v>1.2369172216936251E-2</v>
      </c>
      <c r="E9" s="30"/>
      <c r="F9" s="10"/>
      <c r="G9" s="10"/>
      <c r="H9" s="10"/>
      <c r="I9" s="10"/>
      <c r="J9" s="10"/>
    </row>
    <row r="10" spans="1:10" ht="15" customHeight="1" x14ac:dyDescent="0.25">
      <c r="A10" s="8" t="s">
        <v>17</v>
      </c>
      <c r="B10" s="10"/>
      <c r="C10" s="10"/>
      <c r="D10" s="10"/>
      <c r="E10" s="30">
        <f t="shared" ref="E10:E11" si="1">1.5/22</f>
        <v>6.8181818181818177E-2</v>
      </c>
      <c r="F10" s="10"/>
      <c r="G10" s="10"/>
      <c r="H10" s="10">
        <f t="shared" ref="H10:H12" si="2">1.5/22.5</f>
        <v>6.6666666666666666E-2</v>
      </c>
      <c r="I10" s="10"/>
      <c r="J10" s="10"/>
    </row>
    <row r="11" spans="1:10" ht="15" customHeight="1" x14ac:dyDescent="0.25">
      <c r="A11" s="8" t="s">
        <v>122</v>
      </c>
      <c r="B11" s="10"/>
      <c r="C11" s="10"/>
      <c r="D11" s="10"/>
      <c r="E11" s="30">
        <f t="shared" si="1"/>
        <v>6.8181818181818177E-2</v>
      </c>
      <c r="F11" s="10"/>
      <c r="G11" s="10"/>
      <c r="H11" s="10">
        <f t="shared" si="2"/>
        <v>6.6666666666666666E-2</v>
      </c>
      <c r="I11" s="10"/>
      <c r="J11" s="10"/>
    </row>
    <row r="12" spans="1:10" ht="15" customHeight="1" x14ac:dyDescent="0.25">
      <c r="A12" s="8" t="s">
        <v>123</v>
      </c>
      <c r="B12" s="10"/>
      <c r="C12" s="10">
        <f>0.5/11.5</f>
        <v>4.3478260869565216E-2</v>
      </c>
      <c r="D12" s="10"/>
      <c r="E12" s="30">
        <f>1/22</f>
        <v>4.5454545454545456E-2</v>
      </c>
      <c r="F12" s="10"/>
      <c r="G12" s="10">
        <f>0.5/20.718</f>
        <v>2.4133603629693984E-2</v>
      </c>
      <c r="H12" s="10">
        <f t="shared" si="2"/>
        <v>6.6666666666666666E-2</v>
      </c>
      <c r="I12" s="10"/>
      <c r="J12" s="10"/>
    </row>
    <row r="13" spans="1:10" ht="15" customHeight="1" x14ac:dyDescent="0.25">
      <c r="A13" s="8" t="s">
        <v>124</v>
      </c>
      <c r="B13" s="10">
        <f>0.125/10.625</f>
        <v>1.1764705882352941E-2</v>
      </c>
      <c r="C13" s="10"/>
      <c r="D13" s="10"/>
      <c r="E13" s="10"/>
      <c r="F13" s="10">
        <f>0.125/5.125</f>
        <v>2.4390243902439025E-2</v>
      </c>
      <c r="G13" s="10"/>
      <c r="H13" s="10"/>
      <c r="I13" s="10"/>
      <c r="J13" s="10"/>
    </row>
    <row r="14" spans="1:10" ht="15" customHeight="1" x14ac:dyDescent="0.25">
      <c r="A14" s="8" t="s">
        <v>74</v>
      </c>
      <c r="B14" s="10"/>
      <c r="C14" s="10">
        <f>0.5/11.5</f>
        <v>4.3478260869565216E-2</v>
      </c>
      <c r="D14" s="10"/>
      <c r="E14" s="10"/>
      <c r="F14" s="10">
        <f>0.5/5.125</f>
        <v>9.7560975609756101E-2</v>
      </c>
      <c r="G14" s="10"/>
      <c r="H14" s="10"/>
      <c r="I14" s="21">
        <v>2.1000000000000001E-2</v>
      </c>
      <c r="J14" s="21"/>
    </row>
    <row r="15" spans="1:10" ht="15" customHeight="1" x14ac:dyDescent="0.25">
      <c r="A15" s="8" t="s">
        <v>125</v>
      </c>
      <c r="B15" s="10"/>
      <c r="C15" s="10"/>
      <c r="D15" s="10"/>
      <c r="E15" s="10"/>
      <c r="F15" s="10"/>
      <c r="G15" s="10">
        <f>0.218/20.718</f>
        <v>1.0522251182546578E-2</v>
      </c>
      <c r="H15" s="10"/>
      <c r="I15" s="10"/>
      <c r="J15" s="10"/>
    </row>
    <row r="16" spans="1:10" ht="15" customHeight="1" x14ac:dyDescent="0.25">
      <c r="A16" s="8" t="s">
        <v>126</v>
      </c>
      <c r="B16" s="10"/>
      <c r="C16" s="10"/>
      <c r="D16" s="10"/>
      <c r="E16" s="10"/>
      <c r="F16" s="10"/>
      <c r="G16" s="10"/>
      <c r="H16" s="10">
        <f>1/22.5</f>
        <v>4.4444444444444446E-2</v>
      </c>
      <c r="I16" s="10"/>
      <c r="J16" s="10"/>
    </row>
    <row r="17" spans="1:10" ht="15" customHeight="1" x14ac:dyDescent="0.25">
      <c r="A17" s="16" t="s">
        <v>34</v>
      </c>
      <c r="B17" s="10">
        <f>0.75/10.625</f>
        <v>7.0588235294117646E-2</v>
      </c>
      <c r="C17" s="10"/>
      <c r="D17" s="10"/>
      <c r="E17" s="10"/>
      <c r="F17" s="10"/>
      <c r="G17" s="10"/>
      <c r="H17" s="10"/>
      <c r="I17" s="10"/>
      <c r="J17" s="10"/>
    </row>
    <row r="18" spans="1:10" ht="15" customHeight="1" x14ac:dyDescent="0.25">
      <c r="A18" s="16" t="s">
        <v>127</v>
      </c>
      <c r="B18" s="10">
        <f>0.375/10.625</f>
        <v>3.5294117647058823E-2</v>
      </c>
      <c r="C18" s="10"/>
      <c r="D18" s="10"/>
      <c r="E18" s="10"/>
      <c r="F18" s="10"/>
      <c r="G18" s="10"/>
      <c r="H18" s="10"/>
      <c r="I18" s="10"/>
      <c r="J18" s="10"/>
    </row>
    <row r="19" spans="1:10" ht="15" customHeight="1" x14ac:dyDescent="0.25">
      <c r="A19" s="16" t="s">
        <v>129</v>
      </c>
      <c r="B19" s="10"/>
      <c r="C19" s="10"/>
      <c r="D19" s="10"/>
      <c r="E19" s="10"/>
      <c r="F19" s="10"/>
      <c r="G19" s="10"/>
      <c r="H19" s="10"/>
      <c r="I19" s="21">
        <v>1.6E-2</v>
      </c>
      <c r="J19" s="21"/>
    </row>
    <row r="20" spans="1:10" ht="15" customHeight="1" x14ac:dyDescent="0.25">
      <c r="A20" s="16" t="s">
        <v>130</v>
      </c>
      <c r="B20" s="10"/>
      <c r="C20" s="10"/>
      <c r="D20" s="10"/>
      <c r="E20" s="10"/>
      <c r="F20" s="10"/>
      <c r="G20" s="10"/>
      <c r="H20" s="10"/>
      <c r="I20" s="10"/>
      <c r="J20" s="10">
        <f>1.43/12.16</f>
        <v>0.11759868421052631</v>
      </c>
    </row>
    <row r="21" spans="1:10" ht="15" customHeight="1" x14ac:dyDescent="0.25">
      <c r="A21" s="16" t="s">
        <v>131</v>
      </c>
      <c r="B21" s="10"/>
      <c r="C21" s="10"/>
      <c r="D21" s="10"/>
      <c r="E21" s="10"/>
      <c r="F21" s="10"/>
      <c r="G21" s="10"/>
      <c r="H21" s="10"/>
      <c r="I21" s="21"/>
      <c r="J21" s="21">
        <v>0.11799999999999999</v>
      </c>
    </row>
    <row r="22" spans="1:10" ht="15" customHeight="1" x14ac:dyDescent="0.25">
      <c r="A22" s="16" t="s">
        <v>132</v>
      </c>
      <c r="B22" s="10"/>
      <c r="C22" s="10"/>
      <c r="D22" s="10"/>
      <c r="E22" s="10"/>
      <c r="F22" s="10"/>
      <c r="G22" s="10"/>
      <c r="H22" s="10"/>
      <c r="I22" s="21"/>
      <c r="J22" s="21">
        <f>(1/16)/12.16</f>
        <v>5.1398026315789477E-3</v>
      </c>
    </row>
    <row r="23" spans="1:10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5" customHeight="1" x14ac:dyDescent="0.25">
      <c r="A24" s="17" t="s">
        <v>28</v>
      </c>
      <c r="B24" s="9"/>
      <c r="C24" s="9"/>
      <c r="D24" s="9"/>
      <c r="E24" s="31"/>
      <c r="F24" s="9"/>
      <c r="G24" s="9"/>
      <c r="H24" s="9"/>
      <c r="I24" s="9"/>
      <c r="J24" s="9"/>
    </row>
    <row r="25" spans="1:10" ht="15" customHeight="1" x14ac:dyDescent="0.25">
      <c r="A25" s="17" t="s">
        <v>96</v>
      </c>
      <c r="B25" s="9"/>
      <c r="C25" s="9"/>
      <c r="D25" s="9"/>
      <c r="E25" s="31" t="s">
        <v>36</v>
      </c>
      <c r="F25" s="9" t="s">
        <v>42</v>
      </c>
      <c r="G25" s="9"/>
      <c r="H25" s="9"/>
      <c r="I25" s="9"/>
      <c r="J25" s="9"/>
    </row>
    <row r="26" spans="1:10" ht="15" customHeight="1" x14ac:dyDescent="0.25">
      <c r="A26" s="18" t="s">
        <v>31</v>
      </c>
      <c r="B26" s="41" t="s">
        <v>133</v>
      </c>
      <c r="C26" s="41" t="s">
        <v>95</v>
      </c>
      <c r="D26" s="31" t="s">
        <v>36</v>
      </c>
      <c r="E26" s="31"/>
      <c r="F26" s="9"/>
      <c r="G26" s="9" t="s">
        <v>36</v>
      </c>
      <c r="H26" s="9" t="s">
        <v>42</v>
      </c>
      <c r="I26" s="20" t="s">
        <v>98</v>
      </c>
      <c r="J26" s="20" t="s">
        <v>98</v>
      </c>
    </row>
    <row r="27" spans="1:10" ht="15" customHeight="1" x14ac:dyDescent="0.25">
      <c r="A27" s="18" t="s">
        <v>39</v>
      </c>
      <c r="B27" s="20" t="s">
        <v>133</v>
      </c>
      <c r="C27" s="9"/>
      <c r="D27" s="9"/>
      <c r="E27" s="32"/>
      <c r="F27" s="19" t="s">
        <v>36</v>
      </c>
      <c r="G27" s="19"/>
      <c r="H27" s="19"/>
      <c r="I27" s="19"/>
      <c r="J27" s="19"/>
    </row>
    <row r="28" spans="1:10" ht="15" customHeight="1" x14ac:dyDescent="0.25">
      <c r="A28" s="18" t="s">
        <v>40</v>
      </c>
      <c r="B28" s="31"/>
      <c r="C28" s="41" t="s">
        <v>42</v>
      </c>
      <c r="D28" s="31" t="s">
        <v>36</v>
      </c>
      <c r="E28" s="31" t="s">
        <v>36</v>
      </c>
      <c r="F28" s="19"/>
      <c r="G28" s="19"/>
      <c r="H28" s="19" t="s">
        <v>136</v>
      </c>
      <c r="I28" s="19"/>
      <c r="J28" s="19"/>
    </row>
    <row r="29" spans="1:10" ht="15" customHeight="1" x14ac:dyDescent="0.25">
      <c r="A29" s="18" t="s">
        <v>41</v>
      </c>
      <c r="B29" s="20" t="s">
        <v>42</v>
      </c>
      <c r="C29" s="20" t="s">
        <v>137</v>
      </c>
      <c r="D29" s="9"/>
      <c r="E29" s="31" t="s">
        <v>36</v>
      </c>
      <c r="F29" s="19"/>
      <c r="G29" s="19"/>
      <c r="H29" s="19" t="s">
        <v>136</v>
      </c>
      <c r="I29" s="19"/>
      <c r="J29" s="22" t="s">
        <v>139</v>
      </c>
    </row>
    <row r="30" spans="1:10" ht="15" customHeight="1" x14ac:dyDescent="0.25">
      <c r="A30" s="18" t="s">
        <v>43</v>
      </c>
      <c r="B30" s="9"/>
      <c r="C30" s="9"/>
      <c r="D30" s="9"/>
      <c r="E30" s="32"/>
      <c r="F30" s="19"/>
      <c r="G30" s="19" t="s">
        <v>36</v>
      </c>
      <c r="H30" s="19"/>
      <c r="I30" s="19"/>
      <c r="J30" s="19"/>
    </row>
    <row r="31" spans="1:10" ht="15" customHeight="1" x14ac:dyDescent="0.25">
      <c r="A31" s="18" t="s">
        <v>44</v>
      </c>
      <c r="B31" s="20" t="s">
        <v>42</v>
      </c>
      <c r="C31" s="9"/>
      <c r="D31" s="9"/>
      <c r="E31" s="32"/>
      <c r="F31" s="19"/>
      <c r="G31" s="19"/>
      <c r="H31" s="19"/>
      <c r="I31" s="22" t="s">
        <v>42</v>
      </c>
      <c r="J31" s="22"/>
    </row>
    <row r="32" spans="1:10" ht="15" customHeight="1" x14ac:dyDescent="0.25">
      <c r="A32" s="18" t="s">
        <v>45</v>
      </c>
      <c r="B32" s="9"/>
      <c r="C32" s="9"/>
      <c r="D32" s="9"/>
      <c r="E32" s="32"/>
      <c r="F32" s="19"/>
      <c r="G32" s="19"/>
      <c r="H32" s="19"/>
      <c r="I32" s="19"/>
      <c r="J32" s="19"/>
    </row>
    <row r="33" spans="1:10" ht="15" customHeight="1" x14ac:dyDescent="0.25">
      <c r="A33" s="18" t="s">
        <v>52</v>
      </c>
      <c r="B33" s="9"/>
      <c r="C33" s="9"/>
      <c r="D33" s="9"/>
      <c r="E33" s="32"/>
      <c r="F33" s="19"/>
      <c r="G33" s="19"/>
      <c r="H33" s="19"/>
      <c r="I33" s="19"/>
      <c r="J33" s="19"/>
    </row>
    <row r="34" spans="1:10" ht="1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5" customHeight="1" x14ac:dyDescent="0.25">
      <c r="A35" s="17" t="s">
        <v>53</v>
      </c>
      <c r="B35" s="20">
        <v>1.052</v>
      </c>
      <c r="C35" s="20">
        <v>1.0509999999999999</v>
      </c>
      <c r="D35" s="9">
        <v>1.0509999999999999</v>
      </c>
      <c r="E35" s="31">
        <v>1.056</v>
      </c>
      <c r="F35" s="9">
        <v>1.046</v>
      </c>
      <c r="G35" s="9">
        <v>1.0549999999999999</v>
      </c>
      <c r="H35" s="9">
        <v>1.0649999999999999</v>
      </c>
      <c r="I35" s="20">
        <v>1.05</v>
      </c>
      <c r="J35" s="20">
        <v>1.0529999999999999</v>
      </c>
    </row>
    <row r="36" spans="1:10" ht="15" customHeight="1" x14ac:dyDescent="0.25">
      <c r="A36" s="17" t="s">
        <v>55</v>
      </c>
      <c r="B36" s="20">
        <v>1.014</v>
      </c>
      <c r="C36" s="20">
        <v>1.014</v>
      </c>
      <c r="D36" s="9" t="s">
        <v>106</v>
      </c>
      <c r="E36" s="31">
        <v>1.012</v>
      </c>
      <c r="F36" s="9">
        <v>1.012</v>
      </c>
      <c r="G36" s="9">
        <v>1.0129999999999999</v>
      </c>
      <c r="H36" s="9">
        <v>1.0169999999999999</v>
      </c>
      <c r="I36" s="20">
        <v>1.012</v>
      </c>
      <c r="J36" s="20">
        <v>1.01</v>
      </c>
    </row>
    <row r="37" spans="1:10" ht="15" customHeight="1" x14ac:dyDescent="0.25">
      <c r="A37" s="17" t="s">
        <v>57</v>
      </c>
      <c r="B37" s="42" t="s">
        <v>143</v>
      </c>
      <c r="C37" s="45" t="s">
        <v>144</v>
      </c>
      <c r="D37" s="45" t="s">
        <v>145</v>
      </c>
      <c r="E37" s="34">
        <v>150</v>
      </c>
      <c r="F37" s="25">
        <v>149</v>
      </c>
      <c r="G37" s="25">
        <v>152</v>
      </c>
      <c r="H37" s="25" t="s">
        <v>146</v>
      </c>
      <c r="I37" s="20">
        <v>152</v>
      </c>
      <c r="J37" s="20">
        <v>158</v>
      </c>
    </row>
    <row r="38" spans="1:10" ht="15" customHeight="1" x14ac:dyDescent="0.25">
      <c r="A38" s="17" t="s">
        <v>58</v>
      </c>
      <c r="B38" s="20">
        <v>2206</v>
      </c>
      <c r="C38" s="20">
        <v>2124</v>
      </c>
      <c r="D38" s="9">
        <v>2206</v>
      </c>
      <c r="E38" s="34" t="s">
        <v>106</v>
      </c>
      <c r="F38" s="24">
        <v>830</v>
      </c>
      <c r="G38" s="24">
        <v>2308</v>
      </c>
      <c r="H38" s="24">
        <v>2124</v>
      </c>
      <c r="I38" s="25">
        <v>833</v>
      </c>
      <c r="J38" s="25">
        <v>833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2" sqref="A2"/>
    </sheetView>
  </sheetViews>
  <sheetFormatPr defaultColWidth="15.140625" defaultRowHeight="15.75" customHeight="1" x14ac:dyDescent="0.25"/>
  <cols>
    <col min="1" max="3" width="16.7109375" customWidth="1"/>
    <col min="4" max="4" width="15.28515625" customWidth="1"/>
    <col min="5" max="5" width="12" customWidth="1"/>
    <col min="6" max="6" width="11.42578125" customWidth="1"/>
    <col min="7" max="7" width="12.140625" customWidth="1"/>
    <col min="8" max="8" width="11.42578125" customWidth="1"/>
    <col min="9" max="9" width="10.85546875" customWidth="1"/>
  </cols>
  <sheetData>
    <row r="1" spans="1:9" ht="23.25" customHeight="1" x14ac:dyDescent="0.35">
      <c r="A1" s="3" t="s">
        <v>121</v>
      </c>
      <c r="B1" s="3"/>
      <c r="C1" s="3"/>
      <c r="D1" s="4"/>
      <c r="E1" s="4"/>
      <c r="F1" s="4"/>
      <c r="G1" s="4"/>
      <c r="H1" s="4"/>
      <c r="I1" s="4"/>
    </row>
    <row r="2" spans="1:9" ht="15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23.25" customHeight="1" x14ac:dyDescent="0.35">
      <c r="A3" s="4"/>
      <c r="B3" s="5">
        <v>2001</v>
      </c>
      <c r="C3" s="5">
        <v>2003</v>
      </c>
      <c r="D3" s="7">
        <v>2006</v>
      </c>
      <c r="E3" s="28">
        <v>2007</v>
      </c>
      <c r="F3" s="7">
        <v>2009</v>
      </c>
      <c r="G3" s="7">
        <v>2010</v>
      </c>
      <c r="H3" s="7">
        <v>2013</v>
      </c>
      <c r="I3" s="7">
        <v>2014</v>
      </c>
    </row>
    <row r="4" spans="1:9" ht="15" customHeight="1" x14ac:dyDescent="0.25">
      <c r="A4" s="8" t="s">
        <v>19</v>
      </c>
      <c r="B4" s="10">
        <f>3.25/11</f>
        <v>0.29545454545454547</v>
      </c>
      <c r="C4" s="10"/>
      <c r="D4" s="10"/>
      <c r="E4" s="30"/>
      <c r="F4" s="10">
        <f>7/13</f>
        <v>0.53846153846153844</v>
      </c>
      <c r="G4" s="10"/>
      <c r="H4" s="10">
        <f>5/12</f>
        <v>0.41666666666666669</v>
      </c>
      <c r="I4" s="10"/>
    </row>
    <row r="5" spans="1:9" ht="15" customHeight="1" x14ac:dyDescent="0.25">
      <c r="A5" s="8" t="s">
        <v>82</v>
      </c>
      <c r="B5" s="10">
        <f>2/11</f>
        <v>0.18181818181818182</v>
      </c>
      <c r="C5" s="21">
        <v>0.15</v>
      </c>
      <c r="D5" s="10">
        <v>1</v>
      </c>
      <c r="E5" s="30"/>
      <c r="F5" s="10"/>
      <c r="G5" s="10">
        <f>10/11</f>
        <v>0.90909090909090906</v>
      </c>
      <c r="H5" s="10">
        <f>3/12</f>
        <v>0.25</v>
      </c>
      <c r="I5" s="10">
        <f>10/13.8</f>
        <v>0.72463768115942029</v>
      </c>
    </row>
    <row r="6" spans="1:9" ht="15" customHeight="1" x14ac:dyDescent="0.25">
      <c r="A6" s="8" t="s">
        <v>24</v>
      </c>
      <c r="B6" s="10">
        <f>4/11</f>
        <v>0.36363636363636365</v>
      </c>
      <c r="C6" s="21">
        <v>0.15</v>
      </c>
      <c r="D6" s="10"/>
      <c r="E6" s="30">
        <f>1.5/12.25</f>
        <v>0.12244897959183673</v>
      </c>
      <c r="F6" s="10">
        <f>4/13</f>
        <v>0.30769230769230771</v>
      </c>
      <c r="G6" s="10">
        <f t="shared" ref="G6:G7" si="0">0.25/11</f>
        <v>2.2727272727272728E-2</v>
      </c>
      <c r="H6" s="10">
        <f>4/12</f>
        <v>0.33333333333333331</v>
      </c>
      <c r="I6" s="10">
        <f>3.5/13.8</f>
        <v>0.25362318840579706</v>
      </c>
    </row>
    <row r="7" spans="1:9" ht="15" customHeight="1" x14ac:dyDescent="0.25">
      <c r="A7" s="8" t="s">
        <v>17</v>
      </c>
      <c r="B7" s="10"/>
      <c r="C7" s="10"/>
      <c r="D7" s="10"/>
      <c r="E7" s="30"/>
      <c r="F7" s="10"/>
      <c r="G7" s="10">
        <f t="shared" si="0"/>
        <v>2.2727272727272728E-2</v>
      </c>
      <c r="H7" s="10"/>
      <c r="I7" s="10"/>
    </row>
    <row r="8" spans="1:9" ht="15" customHeight="1" x14ac:dyDescent="0.25">
      <c r="A8" s="8" t="s">
        <v>112</v>
      </c>
      <c r="B8" s="10"/>
      <c r="C8" s="10"/>
      <c r="D8" s="10"/>
      <c r="E8" s="30">
        <f>10/12.25</f>
        <v>0.81632653061224492</v>
      </c>
      <c r="F8" s="10"/>
      <c r="G8" s="10"/>
      <c r="H8" s="10"/>
      <c r="I8" s="10"/>
    </row>
    <row r="9" spans="1:9" ht="15" customHeight="1" x14ac:dyDescent="0.25">
      <c r="A9" s="8" t="s">
        <v>128</v>
      </c>
      <c r="B9" s="10"/>
      <c r="C9" s="10"/>
      <c r="D9" s="10"/>
      <c r="E9" s="30"/>
      <c r="F9" s="10">
        <f>0.5/13</f>
        <v>3.8461538461538464E-2</v>
      </c>
      <c r="G9" s="4"/>
      <c r="H9" s="10"/>
      <c r="I9" s="10"/>
    </row>
    <row r="10" spans="1:9" ht="15" customHeight="1" x14ac:dyDescent="0.25">
      <c r="A10" s="8" t="s">
        <v>131</v>
      </c>
      <c r="B10" s="10"/>
      <c r="C10" s="10"/>
      <c r="D10" s="10"/>
      <c r="E10" s="30"/>
      <c r="F10" s="10">
        <f>1/13</f>
        <v>7.6923076923076927E-2</v>
      </c>
      <c r="G10" s="10"/>
      <c r="H10" s="10"/>
      <c r="I10" s="10"/>
    </row>
    <row r="11" spans="1:9" ht="15" customHeight="1" x14ac:dyDescent="0.25">
      <c r="A11" s="8" t="s">
        <v>123</v>
      </c>
      <c r="B11" s="10"/>
      <c r="C11" s="10"/>
      <c r="D11" s="10"/>
      <c r="E11" s="30">
        <f>0.75/12.25</f>
        <v>6.1224489795918366E-2</v>
      </c>
      <c r="F11" s="10">
        <f>0.5/13</f>
        <v>3.8461538461538464E-2</v>
      </c>
      <c r="G11" s="10"/>
      <c r="H11" s="10"/>
      <c r="I11" s="10"/>
    </row>
    <row r="12" spans="1:9" ht="15" customHeight="1" x14ac:dyDescent="0.25">
      <c r="A12" s="8" t="s">
        <v>92</v>
      </c>
      <c r="B12" s="10"/>
      <c r="C12" s="10"/>
      <c r="D12" s="10"/>
      <c r="E12" s="10"/>
      <c r="F12" s="10"/>
      <c r="G12" s="10">
        <f t="shared" ref="G12:G13" si="1">0.25/11</f>
        <v>2.2727272727272728E-2</v>
      </c>
      <c r="H12" s="10"/>
      <c r="I12" s="10">
        <f>0.3/13.8</f>
        <v>2.1739130434782608E-2</v>
      </c>
    </row>
    <row r="13" spans="1:9" ht="15" customHeight="1" x14ac:dyDescent="0.25">
      <c r="A13" s="8" t="s">
        <v>74</v>
      </c>
      <c r="B13" s="10"/>
      <c r="C13" s="10"/>
      <c r="D13" s="10"/>
      <c r="E13" s="10"/>
      <c r="F13" s="10"/>
      <c r="G13" s="10">
        <f t="shared" si="1"/>
        <v>2.2727272727272728E-2</v>
      </c>
      <c r="H13" s="10"/>
      <c r="I13" s="10"/>
    </row>
    <row r="14" spans="1:9" ht="15" customHeight="1" x14ac:dyDescent="0.25">
      <c r="A14" s="16" t="s">
        <v>134</v>
      </c>
      <c r="B14" s="10">
        <f>1.75/11</f>
        <v>0.15909090909090909</v>
      </c>
      <c r="C14" s="10"/>
      <c r="D14" s="10"/>
      <c r="E14" s="10"/>
      <c r="F14" s="10"/>
      <c r="G14" s="10"/>
      <c r="H14" s="10"/>
      <c r="I14" s="10"/>
    </row>
    <row r="15" spans="1:9" ht="15" customHeight="1" x14ac:dyDescent="0.25">
      <c r="A15" s="16" t="s">
        <v>135</v>
      </c>
      <c r="B15" s="10"/>
      <c r="C15" s="21">
        <v>0.6</v>
      </c>
      <c r="D15" s="10"/>
      <c r="E15" s="10"/>
      <c r="F15" s="10"/>
      <c r="G15" s="10"/>
      <c r="H15" s="10"/>
      <c r="I15" s="10"/>
    </row>
    <row r="16" spans="1:9" ht="15" customHeight="1" x14ac:dyDescent="0.25">
      <c r="A16" s="16" t="s">
        <v>14</v>
      </c>
      <c r="B16" s="10"/>
      <c r="C16" s="21">
        <v>0.1</v>
      </c>
      <c r="D16" s="10"/>
      <c r="E16" s="10"/>
      <c r="F16" s="10"/>
      <c r="G16" s="10"/>
      <c r="H16" s="10"/>
      <c r="I16" s="10"/>
    </row>
    <row r="17" spans="1:9" ht="15" customHeight="1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ht="15" customHeight="1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ht="15" customHeight="1" x14ac:dyDescent="0.25">
      <c r="A19" s="17" t="s">
        <v>28</v>
      </c>
      <c r="B19" s="9"/>
      <c r="C19" s="9"/>
      <c r="D19" s="9"/>
      <c r="E19" s="31"/>
      <c r="F19" s="9"/>
      <c r="G19" s="9" t="s">
        <v>138</v>
      </c>
      <c r="H19" s="9" t="s">
        <v>140</v>
      </c>
      <c r="I19" s="9"/>
    </row>
    <row r="20" spans="1:9" ht="15" customHeight="1" x14ac:dyDescent="0.25">
      <c r="A20" s="17" t="s">
        <v>96</v>
      </c>
      <c r="B20" s="20" t="s">
        <v>42</v>
      </c>
      <c r="C20" s="9"/>
      <c r="D20" s="9"/>
      <c r="E20" s="31"/>
      <c r="F20" s="9"/>
      <c r="G20" s="9"/>
      <c r="H20" s="9"/>
      <c r="I20" s="9"/>
    </row>
    <row r="21" spans="1:9" ht="29.25" customHeight="1" x14ac:dyDescent="0.25">
      <c r="A21" s="18" t="s">
        <v>31</v>
      </c>
      <c r="B21" s="19"/>
      <c r="C21" s="22" t="s">
        <v>141</v>
      </c>
      <c r="D21" s="19" t="s">
        <v>98</v>
      </c>
      <c r="E21" s="31" t="s">
        <v>142</v>
      </c>
      <c r="F21" s="9" t="s">
        <v>36</v>
      </c>
      <c r="G21" s="9"/>
      <c r="H21" s="9"/>
      <c r="I21" s="9" t="s">
        <v>36</v>
      </c>
    </row>
    <row r="22" spans="1:9" ht="15" customHeight="1" x14ac:dyDescent="0.25">
      <c r="A22" s="18" t="s">
        <v>39</v>
      </c>
      <c r="B22" s="9"/>
      <c r="C22" s="9"/>
      <c r="D22" s="9"/>
      <c r="E22" s="32"/>
      <c r="F22" s="19"/>
      <c r="G22" s="19"/>
      <c r="H22" s="19"/>
      <c r="I22" s="19"/>
    </row>
    <row r="23" spans="1:9" ht="15" customHeight="1" x14ac:dyDescent="0.25">
      <c r="A23" s="18" t="s">
        <v>40</v>
      </c>
      <c r="B23" s="20" t="s">
        <v>36</v>
      </c>
      <c r="C23" s="20" t="s">
        <v>36</v>
      </c>
      <c r="D23" s="9"/>
      <c r="E23" s="31" t="s">
        <v>75</v>
      </c>
      <c r="F23" s="19" t="s">
        <v>36</v>
      </c>
      <c r="G23" s="19"/>
      <c r="H23" s="19" t="s">
        <v>49</v>
      </c>
      <c r="I23" s="19"/>
    </row>
    <row r="24" spans="1:9" ht="15" customHeight="1" x14ac:dyDescent="0.25">
      <c r="A24" s="18" t="s">
        <v>41</v>
      </c>
      <c r="B24" s="9"/>
      <c r="C24" s="9"/>
      <c r="D24" s="9"/>
      <c r="E24" s="31" t="s">
        <v>36</v>
      </c>
      <c r="F24" s="19" t="s">
        <v>36</v>
      </c>
      <c r="G24" s="19" t="s">
        <v>36</v>
      </c>
      <c r="H24" s="19"/>
      <c r="I24" s="19"/>
    </row>
    <row r="25" spans="1:9" ht="15" customHeight="1" x14ac:dyDescent="0.25">
      <c r="A25" s="18" t="s">
        <v>43</v>
      </c>
      <c r="B25" s="9"/>
      <c r="C25" s="20" t="s">
        <v>36</v>
      </c>
      <c r="D25" s="9"/>
      <c r="E25" s="32"/>
      <c r="F25" s="19"/>
      <c r="G25" s="19"/>
      <c r="H25" s="19" t="s">
        <v>49</v>
      </c>
      <c r="I25" s="19"/>
    </row>
    <row r="26" spans="1:9" ht="15" customHeight="1" x14ac:dyDescent="0.25">
      <c r="A26" s="18" t="s">
        <v>44</v>
      </c>
      <c r="B26" s="9"/>
      <c r="C26" s="9"/>
      <c r="D26" s="9"/>
      <c r="E26" s="32"/>
      <c r="F26" s="19"/>
      <c r="G26" s="19" t="s">
        <v>36</v>
      </c>
      <c r="H26" s="19"/>
      <c r="I26" s="19"/>
    </row>
    <row r="27" spans="1:9" ht="15" customHeight="1" x14ac:dyDescent="0.25">
      <c r="A27" s="18" t="s">
        <v>45</v>
      </c>
      <c r="B27" s="9"/>
      <c r="C27" s="9"/>
      <c r="D27" s="9"/>
      <c r="E27" s="32"/>
      <c r="F27" s="19"/>
      <c r="G27" s="19"/>
      <c r="H27" s="19"/>
      <c r="I27" s="19"/>
    </row>
    <row r="28" spans="1:9" ht="15" customHeight="1" x14ac:dyDescent="0.25">
      <c r="A28" s="18" t="s">
        <v>52</v>
      </c>
      <c r="B28" s="9"/>
      <c r="C28" s="9"/>
      <c r="D28" s="9"/>
      <c r="E28" s="32"/>
      <c r="F28" s="19"/>
      <c r="G28" s="19"/>
      <c r="H28" s="19"/>
      <c r="I28" s="19"/>
    </row>
    <row r="29" spans="1:9" ht="15" customHeight="1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ht="15" customHeight="1" x14ac:dyDescent="0.25">
      <c r="A30" s="17" t="s">
        <v>53</v>
      </c>
      <c r="B30" s="20">
        <v>1.06</v>
      </c>
      <c r="C30" s="20">
        <v>1.056</v>
      </c>
      <c r="D30" s="9">
        <v>1.056</v>
      </c>
      <c r="E30" s="31">
        <v>1.0509999999999999</v>
      </c>
      <c r="F30" s="9">
        <v>1.0569999999999999</v>
      </c>
      <c r="G30" s="9">
        <v>1.0580000000000001</v>
      </c>
      <c r="H30" s="9">
        <v>1.056</v>
      </c>
      <c r="I30" s="9">
        <v>1.056</v>
      </c>
    </row>
    <row r="31" spans="1:9" ht="15" customHeight="1" x14ac:dyDescent="0.25">
      <c r="A31" s="17" t="s">
        <v>55</v>
      </c>
      <c r="B31" s="20">
        <v>1.018</v>
      </c>
      <c r="C31" s="20">
        <v>1.0149999999999999</v>
      </c>
      <c r="D31" s="9" t="s">
        <v>106</v>
      </c>
      <c r="E31" s="31">
        <v>1.014</v>
      </c>
      <c r="F31" s="9">
        <v>1.0149999999999999</v>
      </c>
      <c r="G31" s="9">
        <v>1.014</v>
      </c>
      <c r="H31" s="9">
        <v>1.014</v>
      </c>
      <c r="I31" s="9">
        <v>1.012</v>
      </c>
    </row>
    <row r="32" spans="1:9" ht="15" customHeight="1" x14ac:dyDescent="0.25">
      <c r="A32" s="17" t="s">
        <v>57</v>
      </c>
      <c r="B32" s="37" t="s">
        <v>147</v>
      </c>
      <c r="C32" s="36">
        <v>158</v>
      </c>
      <c r="D32" s="45" t="s">
        <v>148</v>
      </c>
      <c r="E32" s="31">
        <v>152</v>
      </c>
      <c r="F32" s="9">
        <v>151</v>
      </c>
      <c r="G32" s="9">
        <v>152</v>
      </c>
      <c r="H32" s="33">
        <v>120140154</v>
      </c>
      <c r="I32" s="45" t="s">
        <v>149</v>
      </c>
    </row>
    <row r="33" spans="1:9" ht="15" customHeight="1" x14ac:dyDescent="0.25">
      <c r="A33" s="17" t="s">
        <v>58</v>
      </c>
      <c r="B33" s="20">
        <v>2124</v>
      </c>
      <c r="C33" s="20">
        <v>820</v>
      </c>
      <c r="D33" s="9">
        <v>833</v>
      </c>
      <c r="E33" s="34">
        <v>830</v>
      </c>
      <c r="F33" s="24">
        <v>820</v>
      </c>
      <c r="G33" s="24">
        <v>833</v>
      </c>
      <c r="H33" s="24">
        <v>2633</v>
      </c>
      <c r="I33" s="24">
        <v>833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4.5703125" customWidth="1"/>
    <col min="2" max="2" width="11.85546875" customWidth="1"/>
    <col min="3" max="3" width="9.85546875" customWidth="1"/>
    <col min="4" max="6" width="7.5703125" customWidth="1"/>
  </cols>
  <sheetData>
    <row r="1" spans="1:3" ht="23.25" customHeight="1" x14ac:dyDescent="0.35">
      <c r="A1" s="3" t="s">
        <v>150</v>
      </c>
      <c r="B1" s="4"/>
    </row>
    <row r="2" spans="1:3" ht="15" customHeight="1" x14ac:dyDescent="0.25">
      <c r="A2" s="4"/>
      <c r="B2" s="4"/>
    </row>
    <row r="3" spans="1:3" ht="23.25" customHeight="1" x14ac:dyDescent="0.35">
      <c r="A3" s="4"/>
      <c r="B3" s="43">
        <v>2006</v>
      </c>
      <c r="C3" s="7">
        <v>2009</v>
      </c>
    </row>
    <row r="4" spans="1:3" ht="15" customHeight="1" x14ac:dyDescent="0.25">
      <c r="A4" s="8" t="s">
        <v>152</v>
      </c>
      <c r="B4" s="10"/>
      <c r="C4" s="10">
        <f>4.8/9.797</f>
        <v>0.48994590180667547</v>
      </c>
    </row>
    <row r="5" spans="1:3" ht="15" customHeight="1" x14ac:dyDescent="0.25">
      <c r="A5" s="8" t="s">
        <v>24</v>
      </c>
      <c r="B5" s="10">
        <f>6/20.5</f>
        <v>0.29268292682926828</v>
      </c>
      <c r="C5" s="10">
        <f t="shared" ref="C5:C6" si="0">2/9.797</f>
        <v>0.20414412575278146</v>
      </c>
    </row>
    <row r="6" spans="1:3" ht="15" customHeight="1" x14ac:dyDescent="0.25">
      <c r="A6" s="8" t="s">
        <v>82</v>
      </c>
      <c r="B6" s="10"/>
      <c r="C6" s="10">
        <f t="shared" si="0"/>
        <v>0.20414412575278146</v>
      </c>
    </row>
    <row r="7" spans="1:3" ht="15" customHeight="1" x14ac:dyDescent="0.25">
      <c r="A7" s="8" t="s">
        <v>134</v>
      </c>
      <c r="B7" s="10"/>
      <c r="C7" s="10">
        <f>0.687/9.797</f>
        <v>7.0123507196080431E-2</v>
      </c>
    </row>
    <row r="8" spans="1:3" ht="15" customHeight="1" x14ac:dyDescent="0.25">
      <c r="A8" s="8" t="s">
        <v>153</v>
      </c>
      <c r="B8" s="10">
        <f>0.5/20.5</f>
        <v>2.4390243902439025E-2</v>
      </c>
      <c r="C8" s="10">
        <f>0.25/9.797</f>
        <v>2.5518015719097682E-2</v>
      </c>
    </row>
    <row r="9" spans="1:3" ht="15" customHeight="1" x14ac:dyDescent="0.25">
      <c r="A9" s="8" t="s">
        <v>154</v>
      </c>
      <c r="B9" s="10"/>
      <c r="C9" s="10">
        <f>0.0625/9.797</f>
        <v>6.3795039297744206E-3</v>
      </c>
    </row>
    <row r="10" spans="1:3" ht="15" customHeight="1" x14ac:dyDescent="0.25">
      <c r="A10" s="8" t="s">
        <v>112</v>
      </c>
      <c r="B10" s="10">
        <f>12/20.5</f>
        <v>0.58536585365853655</v>
      </c>
      <c r="C10" s="10"/>
    </row>
    <row r="11" spans="1:3" ht="15" customHeight="1" x14ac:dyDescent="0.25">
      <c r="A11" s="8" t="s">
        <v>157</v>
      </c>
      <c r="B11" s="10">
        <f t="shared" ref="B11:B12" si="1">1/20.5</f>
        <v>4.878048780487805E-2</v>
      </c>
      <c r="C11" s="10"/>
    </row>
    <row r="12" spans="1:3" ht="15" customHeight="1" x14ac:dyDescent="0.25">
      <c r="A12" s="8" t="s">
        <v>118</v>
      </c>
      <c r="B12" s="10">
        <f t="shared" si="1"/>
        <v>4.878048780487805E-2</v>
      </c>
      <c r="C12" s="10"/>
    </row>
    <row r="13" spans="1:3" ht="15" customHeight="1" x14ac:dyDescent="0.25">
      <c r="A13" s="4"/>
      <c r="B13" s="4"/>
    </row>
    <row r="14" spans="1:3" ht="15" customHeight="1" x14ac:dyDescent="0.25">
      <c r="A14" s="4"/>
      <c r="B14" s="4"/>
    </row>
    <row r="15" spans="1:3" ht="15" customHeight="1" x14ac:dyDescent="0.25">
      <c r="A15" s="17" t="s">
        <v>28</v>
      </c>
      <c r="B15" s="9"/>
      <c r="C15" s="9"/>
    </row>
    <row r="16" spans="1:3" ht="15" customHeight="1" x14ac:dyDescent="0.25">
      <c r="A16" s="18" t="s">
        <v>31</v>
      </c>
      <c r="B16" s="9" t="s">
        <v>36</v>
      </c>
      <c r="C16" s="19" t="s">
        <v>158</v>
      </c>
    </row>
    <row r="17" spans="1:3" ht="15" customHeight="1" x14ac:dyDescent="0.25">
      <c r="A17" s="18" t="s">
        <v>39</v>
      </c>
      <c r="B17" s="9"/>
      <c r="C17" s="9"/>
    </row>
    <row r="18" spans="1:3" ht="15" customHeight="1" x14ac:dyDescent="0.25">
      <c r="A18" s="18" t="s">
        <v>40</v>
      </c>
      <c r="B18" s="9"/>
      <c r="C18" s="9"/>
    </row>
    <row r="19" spans="1:3" ht="15" customHeight="1" x14ac:dyDescent="0.25">
      <c r="A19" s="18" t="s">
        <v>41</v>
      </c>
      <c r="B19" s="9"/>
      <c r="C19" s="9"/>
    </row>
    <row r="20" spans="1:3" ht="15" customHeight="1" x14ac:dyDescent="0.25">
      <c r="A20" s="18" t="s">
        <v>43</v>
      </c>
      <c r="B20" s="9"/>
      <c r="C20" s="9"/>
    </row>
    <row r="21" spans="1:3" ht="15" customHeight="1" x14ac:dyDescent="0.25">
      <c r="A21" s="18" t="s">
        <v>44</v>
      </c>
      <c r="B21" s="9"/>
      <c r="C21" s="9"/>
    </row>
    <row r="22" spans="1:3" ht="15" customHeight="1" x14ac:dyDescent="0.25">
      <c r="A22" s="18" t="s">
        <v>45</v>
      </c>
      <c r="B22" s="9" t="s">
        <v>36</v>
      </c>
      <c r="C22" s="9"/>
    </row>
    <row r="23" spans="1:3" ht="15" customHeight="1" x14ac:dyDescent="0.25">
      <c r="A23" s="18" t="s">
        <v>52</v>
      </c>
      <c r="B23" s="9"/>
      <c r="C23" s="9"/>
    </row>
    <row r="24" spans="1:3" ht="15" customHeight="1" x14ac:dyDescent="0.25">
      <c r="A24" s="4"/>
      <c r="B24" s="4"/>
    </row>
    <row r="25" spans="1:3" ht="15" customHeight="1" x14ac:dyDescent="0.25">
      <c r="A25" s="17" t="s">
        <v>53</v>
      </c>
      <c r="B25" s="9">
        <v>1.0449999999999999</v>
      </c>
      <c r="C25" s="9">
        <v>1.06</v>
      </c>
    </row>
    <row r="26" spans="1:3" ht="15" customHeight="1" x14ac:dyDescent="0.25">
      <c r="A26" s="17" t="s">
        <v>55</v>
      </c>
      <c r="B26" s="9">
        <v>1.012</v>
      </c>
      <c r="C26" s="9">
        <v>1.016</v>
      </c>
    </row>
    <row r="27" spans="1:3" ht="15" customHeight="1" x14ac:dyDescent="0.25">
      <c r="A27" s="17" t="s">
        <v>57</v>
      </c>
      <c r="B27" s="9">
        <v>155</v>
      </c>
      <c r="C27" s="9">
        <v>154</v>
      </c>
    </row>
    <row r="28" spans="1:3" ht="15" customHeight="1" x14ac:dyDescent="0.25">
      <c r="A28" s="17" t="s">
        <v>58</v>
      </c>
      <c r="B28" s="9">
        <v>833</v>
      </c>
      <c r="C28" s="9">
        <v>2206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5.5703125" customWidth="1"/>
    <col min="2" max="2" width="11.42578125" customWidth="1"/>
    <col min="3" max="3" width="12.140625" customWidth="1"/>
    <col min="4" max="4" width="11.5703125" customWidth="1"/>
    <col min="5" max="5" width="12.7109375" customWidth="1"/>
    <col min="6" max="6" width="7.5703125" customWidth="1"/>
  </cols>
  <sheetData>
    <row r="1" spans="1:5" ht="23.25" customHeight="1" x14ac:dyDescent="0.35">
      <c r="A1" s="3" t="s">
        <v>151</v>
      </c>
      <c r="B1" s="4"/>
      <c r="C1" s="4"/>
      <c r="D1" s="4"/>
      <c r="E1" s="4"/>
    </row>
    <row r="2" spans="1:5" ht="15" customHeight="1" x14ac:dyDescent="0.25">
      <c r="A2" s="4"/>
      <c r="B2" s="4"/>
      <c r="C2" s="4"/>
      <c r="D2" s="4"/>
      <c r="E2" s="4"/>
    </row>
    <row r="3" spans="1:5" ht="23.25" customHeight="1" x14ac:dyDescent="0.35">
      <c r="A3" s="4"/>
      <c r="B3" s="7">
        <v>2008</v>
      </c>
      <c r="C3" s="28">
        <v>2010</v>
      </c>
      <c r="D3" s="7">
        <v>2012</v>
      </c>
      <c r="E3" s="7">
        <v>2014</v>
      </c>
    </row>
    <row r="4" spans="1:5" ht="15" customHeight="1" x14ac:dyDescent="0.25">
      <c r="A4" s="8" t="s">
        <v>24</v>
      </c>
      <c r="B4" s="10">
        <f>9/9.5</f>
        <v>0.94736842105263153</v>
      </c>
      <c r="C4" s="30">
        <f>8/10.25</f>
        <v>0.78048780487804881</v>
      </c>
      <c r="D4" s="10">
        <f>12/(12+1/8)</f>
        <v>0.98969072164948457</v>
      </c>
      <c r="E4" s="10">
        <f>4.5/7.565</f>
        <v>0.59484467944481156</v>
      </c>
    </row>
    <row r="5" spans="1:5" ht="15" customHeight="1" x14ac:dyDescent="0.25">
      <c r="A5" s="8" t="s">
        <v>123</v>
      </c>
      <c r="B5" s="10">
        <f>0.5/9.5</f>
        <v>5.2631578947368418E-2</v>
      </c>
      <c r="C5" s="30"/>
      <c r="D5" s="10"/>
      <c r="E5" s="10"/>
    </row>
    <row r="6" spans="1:5" ht="15" customHeight="1" x14ac:dyDescent="0.25">
      <c r="A6" s="8" t="s">
        <v>19</v>
      </c>
      <c r="B6" s="10"/>
      <c r="C6" s="30">
        <f>2/10.25</f>
        <v>0.1951219512195122</v>
      </c>
      <c r="D6" s="10"/>
      <c r="E6" s="10">
        <f>1.5/7.565</f>
        <v>0.1982815598149372</v>
      </c>
    </row>
    <row r="7" spans="1:5" ht="15" customHeight="1" x14ac:dyDescent="0.25">
      <c r="A7" s="8" t="s">
        <v>155</v>
      </c>
      <c r="B7" s="10"/>
      <c r="C7" s="30">
        <f>0.25/10.25</f>
        <v>2.4390243902439025E-2</v>
      </c>
      <c r="D7" s="10"/>
      <c r="E7" s="10">
        <f>0.125/7.565</f>
        <v>1.6523463317911432E-2</v>
      </c>
    </row>
    <row r="8" spans="1:5" ht="15" customHeight="1" x14ac:dyDescent="0.25">
      <c r="A8" s="8" t="s">
        <v>129</v>
      </c>
      <c r="B8" s="10"/>
      <c r="C8" s="30"/>
      <c r="D8" s="10">
        <f>0.125/12.125</f>
        <v>1.0309278350515464E-2</v>
      </c>
      <c r="E8" s="10"/>
    </row>
    <row r="9" spans="1:5" ht="15" customHeight="1" x14ac:dyDescent="0.25">
      <c r="A9" s="8" t="s">
        <v>156</v>
      </c>
      <c r="B9" s="10"/>
      <c r="C9" s="30"/>
      <c r="D9" s="10"/>
      <c r="E9" s="10">
        <f>1.44/7.565</f>
        <v>0.19035029742233969</v>
      </c>
    </row>
    <row r="10" spans="1:5" ht="15" customHeight="1" x14ac:dyDescent="0.25">
      <c r="A10" s="35"/>
      <c r="B10" s="13"/>
      <c r="C10" s="13"/>
      <c r="D10" s="13"/>
      <c r="E10" s="13"/>
    </row>
    <row r="11" spans="1:5" ht="15" customHeight="1" x14ac:dyDescent="0.25">
      <c r="A11" s="4"/>
      <c r="B11" s="4"/>
      <c r="C11" s="4"/>
      <c r="D11" s="4"/>
      <c r="E11" s="4"/>
    </row>
    <row r="12" spans="1:5" ht="15" customHeight="1" x14ac:dyDescent="0.25">
      <c r="A12" s="17" t="s">
        <v>28</v>
      </c>
      <c r="B12" s="9"/>
      <c r="C12" s="31"/>
      <c r="D12" s="9"/>
      <c r="E12" s="9"/>
    </row>
    <row r="13" spans="1:5" ht="15" customHeight="1" x14ac:dyDescent="0.25">
      <c r="A13" s="17" t="s">
        <v>113</v>
      </c>
      <c r="B13" s="19"/>
      <c r="C13" s="31"/>
      <c r="D13" s="9"/>
      <c r="E13" s="9"/>
    </row>
    <row r="14" spans="1:5" ht="15" customHeight="1" x14ac:dyDescent="0.25">
      <c r="A14" s="18" t="s">
        <v>31</v>
      </c>
      <c r="B14" s="4" t="s">
        <v>49</v>
      </c>
      <c r="C14" s="31"/>
      <c r="D14" s="9" t="s">
        <v>36</v>
      </c>
      <c r="E14" s="9" t="s">
        <v>47</v>
      </c>
    </row>
    <row r="15" spans="1:5" ht="15" customHeight="1" x14ac:dyDescent="0.25">
      <c r="A15" s="18" t="s">
        <v>39</v>
      </c>
      <c r="B15" s="9"/>
      <c r="C15" s="32" t="s">
        <v>36</v>
      </c>
      <c r="D15" s="19"/>
      <c r="E15" s="19"/>
    </row>
    <row r="16" spans="1:5" ht="15" customHeight="1" x14ac:dyDescent="0.25">
      <c r="A16" s="18" t="s">
        <v>40</v>
      </c>
      <c r="B16" s="9"/>
      <c r="C16" s="32"/>
      <c r="D16" s="19"/>
      <c r="E16" s="19"/>
    </row>
    <row r="17" spans="1:5" ht="15" customHeight="1" x14ac:dyDescent="0.25">
      <c r="A17" s="18" t="s">
        <v>41</v>
      </c>
      <c r="B17" s="9"/>
      <c r="C17" s="32" t="s">
        <v>36</v>
      </c>
      <c r="D17" s="19" t="s">
        <v>36</v>
      </c>
      <c r="E17" s="19"/>
    </row>
    <row r="18" spans="1:5" ht="15" customHeight="1" x14ac:dyDescent="0.25">
      <c r="A18" s="18" t="s">
        <v>43</v>
      </c>
      <c r="B18" s="9"/>
      <c r="C18" s="32"/>
      <c r="D18" s="19"/>
      <c r="E18" s="19"/>
    </row>
    <row r="19" spans="1:5" ht="15" customHeight="1" x14ac:dyDescent="0.25">
      <c r="A19" s="18" t="s">
        <v>44</v>
      </c>
      <c r="B19" s="9"/>
      <c r="C19" s="32"/>
      <c r="D19" s="19"/>
      <c r="E19" s="19"/>
    </row>
    <row r="20" spans="1:5" ht="15" customHeight="1" x14ac:dyDescent="0.25">
      <c r="A20" s="18" t="s">
        <v>45</v>
      </c>
      <c r="B20" s="9"/>
      <c r="C20" s="32"/>
      <c r="D20" s="19"/>
      <c r="E20" s="19"/>
    </row>
    <row r="21" spans="1:5" ht="15" customHeight="1" x14ac:dyDescent="0.25">
      <c r="A21" s="18" t="s">
        <v>52</v>
      </c>
      <c r="B21" s="9"/>
      <c r="C21" s="32"/>
      <c r="D21" s="19"/>
      <c r="E21" s="19"/>
    </row>
    <row r="22" spans="1:5" ht="15" customHeight="1" x14ac:dyDescent="0.25">
      <c r="A22" s="4"/>
      <c r="B22" s="4"/>
      <c r="C22" s="4"/>
      <c r="D22" s="4"/>
      <c r="E22" s="4"/>
    </row>
    <row r="23" spans="1:5" ht="15" customHeight="1" x14ac:dyDescent="0.25">
      <c r="A23" s="17" t="s">
        <v>53</v>
      </c>
      <c r="B23" s="9">
        <v>1.0529999999999999</v>
      </c>
      <c r="C23" s="31">
        <v>1.06</v>
      </c>
      <c r="D23" s="9">
        <v>1.0629999999999999</v>
      </c>
      <c r="E23" s="9">
        <v>1.0549999999999999</v>
      </c>
    </row>
    <row r="24" spans="1:5" ht="15" customHeight="1" x14ac:dyDescent="0.25">
      <c r="A24" s="17" t="s">
        <v>55</v>
      </c>
      <c r="B24" s="9">
        <v>1.01</v>
      </c>
      <c r="C24" s="31">
        <v>1.02</v>
      </c>
      <c r="D24" s="9">
        <v>1.022</v>
      </c>
      <c r="E24" s="9">
        <v>1.012</v>
      </c>
    </row>
    <row r="25" spans="1:5" ht="15" customHeight="1" x14ac:dyDescent="0.25">
      <c r="A25" s="17" t="s">
        <v>57</v>
      </c>
      <c r="B25" s="33">
        <v>150</v>
      </c>
      <c r="C25" s="31" t="s">
        <v>146</v>
      </c>
      <c r="D25" s="9" t="s">
        <v>159</v>
      </c>
      <c r="E25" s="9" t="s">
        <v>160</v>
      </c>
    </row>
    <row r="26" spans="1:5" ht="15" customHeight="1" x14ac:dyDescent="0.25">
      <c r="A26" s="17" t="s">
        <v>58</v>
      </c>
      <c r="B26" s="9">
        <v>2206</v>
      </c>
      <c r="C26" s="34">
        <v>2206</v>
      </c>
      <c r="D26" s="24">
        <v>2206</v>
      </c>
      <c r="E26" s="24">
        <v>833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A2" sqref="A2"/>
    </sheetView>
  </sheetViews>
  <sheetFormatPr defaultColWidth="15.140625" defaultRowHeight="15.75" customHeight="1" x14ac:dyDescent="0.25"/>
  <cols>
    <col min="1" max="5" width="13.85546875" customWidth="1"/>
    <col min="6" max="6" width="12.42578125" customWidth="1"/>
    <col min="7" max="7" width="10.42578125" customWidth="1"/>
    <col min="8" max="8" width="11.42578125" customWidth="1"/>
    <col min="9" max="9" width="13" customWidth="1"/>
    <col min="10" max="10" width="9.5703125" customWidth="1"/>
    <col min="11" max="11" width="11.5703125" customWidth="1"/>
  </cols>
  <sheetData>
    <row r="1" spans="1:11" ht="23.25" customHeight="1" x14ac:dyDescent="0.35">
      <c r="A1" s="3" t="s">
        <v>161</v>
      </c>
      <c r="B1" s="3"/>
      <c r="C1" s="3"/>
      <c r="D1" s="3"/>
      <c r="E1" s="3"/>
      <c r="F1" s="4"/>
      <c r="G1" s="4"/>
      <c r="H1" s="4"/>
      <c r="I1" s="4"/>
    </row>
    <row r="2" spans="1:11" ht="15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11" ht="23.25" customHeight="1" x14ac:dyDescent="0.35">
      <c r="A3" s="4"/>
      <c r="B3" s="5">
        <v>2000</v>
      </c>
      <c r="C3" s="5">
        <v>2001</v>
      </c>
      <c r="D3" s="5">
        <v>2002</v>
      </c>
      <c r="E3" s="5">
        <v>2003</v>
      </c>
      <c r="F3" s="7">
        <v>2004</v>
      </c>
      <c r="G3" s="7">
        <v>2007</v>
      </c>
      <c r="H3" s="7">
        <v>2011</v>
      </c>
      <c r="I3" s="7">
        <v>2013</v>
      </c>
      <c r="J3" s="5">
        <v>2015</v>
      </c>
      <c r="K3" s="5">
        <v>2016</v>
      </c>
    </row>
    <row r="4" spans="1:11" ht="15" customHeight="1" x14ac:dyDescent="0.25">
      <c r="A4" s="8" t="s">
        <v>24</v>
      </c>
      <c r="B4" s="10">
        <f>3/12</f>
        <v>0.25</v>
      </c>
      <c r="C4" s="10"/>
      <c r="D4" s="10">
        <f>4/10.5</f>
        <v>0.38095238095238093</v>
      </c>
      <c r="E4" s="10">
        <f>5.75/9.5</f>
        <v>0.60526315789473684</v>
      </c>
      <c r="F4" s="10">
        <f>2.5/9.5</f>
        <v>0.26315789473684209</v>
      </c>
      <c r="G4" s="10">
        <f>20/42.6</f>
        <v>0.46948356807511737</v>
      </c>
      <c r="H4" s="10">
        <f>7/21.75</f>
        <v>0.32183908045977011</v>
      </c>
      <c r="I4" s="10">
        <f>0.75/11.25</f>
        <v>6.6666666666666666E-2</v>
      </c>
      <c r="J4" s="21">
        <v>0.61699999999999999</v>
      </c>
      <c r="K4" s="21">
        <f>3/10.125</f>
        <v>0.29629629629629628</v>
      </c>
    </row>
    <row r="5" spans="1:11" ht="15" customHeight="1" x14ac:dyDescent="0.25">
      <c r="A5" s="8" t="s">
        <v>19</v>
      </c>
      <c r="B5" s="10">
        <f>4/12</f>
        <v>0.33333333333333331</v>
      </c>
      <c r="C5" s="10">
        <f>6/6.875</f>
        <v>0.87272727272727268</v>
      </c>
      <c r="D5" s="10">
        <f>5/10.5</f>
        <v>0.47619047619047616</v>
      </c>
      <c r="E5" s="10">
        <f>1/9.5</f>
        <v>0.10526315789473684</v>
      </c>
      <c r="F5" s="10">
        <f>5.5/9.5</f>
        <v>0.57894736842105265</v>
      </c>
      <c r="G5" s="10">
        <f>13/42.6</f>
        <v>0.30516431924882625</v>
      </c>
      <c r="H5" s="10">
        <f>6/21.75</f>
        <v>0.27586206896551724</v>
      </c>
      <c r="I5" s="10">
        <f>9/11.25</f>
        <v>0.8</v>
      </c>
      <c r="J5" s="21">
        <v>7.3999999999999996E-2</v>
      </c>
      <c r="K5" s="21">
        <f>6/10.125</f>
        <v>0.59259259259259256</v>
      </c>
    </row>
    <row r="6" spans="1:11" ht="15" customHeight="1" x14ac:dyDescent="0.25">
      <c r="A6" s="8" t="s">
        <v>134</v>
      </c>
      <c r="B6" s="10"/>
      <c r="C6" s="10"/>
      <c r="D6" s="10"/>
      <c r="E6" s="10"/>
      <c r="F6" s="10">
        <f t="shared" ref="F6:F8" si="0">0.5/9.5</f>
        <v>5.2631578947368418E-2</v>
      </c>
      <c r="G6" s="10"/>
      <c r="H6" s="10"/>
      <c r="I6" s="10"/>
      <c r="J6" s="10"/>
      <c r="K6" s="10"/>
    </row>
    <row r="7" spans="1:11" ht="15" customHeight="1" x14ac:dyDescent="0.25">
      <c r="A7" s="8" t="s">
        <v>165</v>
      </c>
      <c r="B7" s="10"/>
      <c r="C7" s="10"/>
      <c r="D7" s="10"/>
      <c r="E7" s="10"/>
      <c r="F7" s="10">
        <f t="shared" si="0"/>
        <v>5.2631578947368418E-2</v>
      </c>
      <c r="G7" s="10"/>
      <c r="H7" s="10"/>
      <c r="I7" s="10"/>
      <c r="J7" s="10"/>
      <c r="K7" s="10"/>
    </row>
    <row r="8" spans="1:11" ht="15" customHeight="1" x14ac:dyDescent="0.25">
      <c r="A8" s="8" t="s">
        <v>166</v>
      </c>
      <c r="B8" s="10"/>
      <c r="C8" s="10"/>
      <c r="D8" s="10">
        <f>0.25/10.5</f>
        <v>2.3809523809523808E-2</v>
      </c>
      <c r="E8" s="10">
        <f>1/9.5</f>
        <v>0.10526315789473684</v>
      </c>
      <c r="F8" s="10">
        <f t="shared" si="0"/>
        <v>5.2631578947368418E-2</v>
      </c>
      <c r="G8" s="10">
        <f>2.1/42.6</f>
        <v>4.9295774647887328E-2</v>
      </c>
      <c r="H8" s="10">
        <f>0.75/21.75</f>
        <v>3.4482758620689655E-2</v>
      </c>
      <c r="I8" s="10">
        <f>0.75/11.25</f>
        <v>6.6666666666666666E-2</v>
      </c>
      <c r="J8" s="21">
        <v>3.1E-2</v>
      </c>
      <c r="K8" s="21"/>
    </row>
    <row r="9" spans="1:11" ht="15" customHeight="1" x14ac:dyDescent="0.25">
      <c r="A9" s="8" t="s">
        <v>17</v>
      </c>
      <c r="B9" s="10"/>
      <c r="C9" s="10"/>
      <c r="D9" s="10"/>
      <c r="E9" s="10">
        <f t="shared" ref="E9:E10" si="1">0.25/9.5</f>
        <v>2.6315789473684209E-2</v>
      </c>
      <c r="F9" s="10"/>
      <c r="G9" s="10">
        <f>2/42.6</f>
        <v>4.6948356807511735E-2</v>
      </c>
      <c r="H9" s="4"/>
      <c r="I9" s="10"/>
      <c r="J9" s="10"/>
      <c r="K9" s="10"/>
    </row>
    <row r="10" spans="1:11" ht="15" customHeight="1" x14ac:dyDescent="0.25">
      <c r="A10" s="8" t="s">
        <v>123</v>
      </c>
      <c r="B10" s="10">
        <f>1/12</f>
        <v>8.3333333333333329E-2</v>
      </c>
      <c r="C10" s="10"/>
      <c r="D10" s="10"/>
      <c r="E10" s="10">
        <f t="shared" si="1"/>
        <v>2.6315789473684209E-2</v>
      </c>
      <c r="F10" s="10"/>
      <c r="G10" s="10">
        <f>2.5/42.6</f>
        <v>5.8685446009389672E-2</v>
      </c>
      <c r="H10" s="10">
        <f>8/21.75</f>
        <v>0.36781609195402298</v>
      </c>
      <c r="I10" s="10">
        <f>0.75/11.25</f>
        <v>6.6666666666666666E-2</v>
      </c>
      <c r="J10" s="10"/>
      <c r="K10" s="10"/>
    </row>
    <row r="11" spans="1:11" ht="15" customHeight="1" x14ac:dyDescent="0.25">
      <c r="A11" s="8" t="s">
        <v>74</v>
      </c>
      <c r="B11" s="10"/>
      <c r="C11" s="10"/>
      <c r="D11" s="10"/>
      <c r="E11" s="10">
        <f>1.25/9.5</f>
        <v>0.13157894736842105</v>
      </c>
      <c r="F11" s="10"/>
      <c r="G11" s="10">
        <f>3/42.6</f>
        <v>7.0422535211267609E-2</v>
      </c>
      <c r="H11" s="10"/>
      <c r="I11" s="10"/>
      <c r="J11" s="10"/>
      <c r="K11" s="10"/>
    </row>
    <row r="12" spans="1:11" ht="15" customHeight="1" x14ac:dyDescent="0.25">
      <c r="A12" s="16" t="s">
        <v>82</v>
      </c>
      <c r="B12" s="10">
        <f>3/12</f>
        <v>0.25</v>
      </c>
      <c r="C12" s="10"/>
      <c r="D12" s="10"/>
      <c r="E12" s="10"/>
      <c r="F12" s="10"/>
      <c r="G12" s="10"/>
      <c r="H12" s="4"/>
      <c r="I12" s="10"/>
      <c r="J12" s="10"/>
      <c r="K12" s="10"/>
    </row>
    <row r="13" spans="1:11" ht="15" customHeight="1" x14ac:dyDescent="0.25">
      <c r="A13" s="16" t="s">
        <v>72</v>
      </c>
      <c r="B13" s="10">
        <f t="shared" ref="B13:B14" si="2">0.5/12</f>
        <v>4.1666666666666664E-2</v>
      </c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5" customHeight="1" x14ac:dyDescent="0.25">
      <c r="A14" s="16" t="s">
        <v>155</v>
      </c>
      <c r="B14" s="10">
        <f t="shared" si="2"/>
        <v>4.1666666666666664E-2</v>
      </c>
      <c r="C14" s="10">
        <f>0.5/6.875</f>
        <v>7.2727272727272724E-2</v>
      </c>
      <c r="D14" s="10">
        <f>0.5/10.5</f>
        <v>4.7619047619047616E-2</v>
      </c>
      <c r="E14" s="10"/>
      <c r="F14" s="10"/>
      <c r="G14" s="10"/>
      <c r="H14" s="10"/>
      <c r="I14" s="10"/>
      <c r="J14" s="21">
        <v>3.1E-2</v>
      </c>
      <c r="K14" s="21"/>
    </row>
    <row r="15" spans="1:11" ht="15" customHeight="1" x14ac:dyDescent="0.25">
      <c r="A15" s="16" t="s">
        <v>174</v>
      </c>
      <c r="B15" s="10"/>
      <c r="C15" s="10">
        <f>0.25/6.875</f>
        <v>3.6363636363636362E-2</v>
      </c>
      <c r="D15" s="10"/>
      <c r="E15" s="10"/>
      <c r="F15" s="10"/>
      <c r="G15" s="10"/>
      <c r="H15" s="10"/>
      <c r="I15" s="10"/>
      <c r="J15" s="10"/>
      <c r="K15" s="10"/>
    </row>
    <row r="16" spans="1:11" ht="15" customHeight="1" x14ac:dyDescent="0.25">
      <c r="A16" s="16" t="s">
        <v>175</v>
      </c>
      <c r="B16" s="10"/>
      <c r="C16" s="10">
        <f>0.125/6.875</f>
        <v>1.8181818181818181E-2</v>
      </c>
      <c r="D16" s="10"/>
      <c r="E16" s="10"/>
      <c r="F16" s="10"/>
      <c r="G16" s="10"/>
      <c r="H16" s="10"/>
      <c r="I16" s="10"/>
      <c r="J16" s="10"/>
      <c r="K16" s="10"/>
    </row>
    <row r="17" spans="1:11" ht="15" customHeight="1" x14ac:dyDescent="0.25">
      <c r="A17" s="16" t="s">
        <v>34</v>
      </c>
      <c r="B17" s="10"/>
      <c r="C17" s="10"/>
      <c r="D17" s="10">
        <f>0.5/10.5</f>
        <v>4.7619047619047616E-2</v>
      </c>
      <c r="E17" s="10"/>
      <c r="F17" s="10"/>
      <c r="G17" s="10"/>
      <c r="H17" s="10"/>
      <c r="I17" s="10"/>
      <c r="J17" s="10"/>
      <c r="K17" s="10"/>
    </row>
    <row r="18" spans="1:11" ht="15" customHeight="1" x14ac:dyDescent="0.25">
      <c r="A18" s="16" t="s">
        <v>178</v>
      </c>
      <c r="B18" s="10"/>
      <c r="C18" s="10"/>
      <c r="D18" s="10">
        <f>0.25/10.5</f>
        <v>2.3809523809523808E-2</v>
      </c>
      <c r="E18" s="10"/>
      <c r="F18" s="10"/>
      <c r="G18" s="10"/>
      <c r="H18" s="10"/>
      <c r="I18" s="10"/>
      <c r="J18" s="10"/>
      <c r="K18" s="10"/>
    </row>
    <row r="19" spans="1:11" ht="15" customHeight="1" x14ac:dyDescent="0.25">
      <c r="A19" s="16" t="s">
        <v>179</v>
      </c>
      <c r="B19" s="10"/>
      <c r="C19" s="10"/>
      <c r="D19" s="10"/>
      <c r="E19" s="10"/>
      <c r="F19" s="10"/>
      <c r="G19" s="10"/>
      <c r="H19" s="10"/>
      <c r="I19" s="10"/>
      <c r="J19" s="21">
        <v>0.247</v>
      </c>
      <c r="K19" s="21"/>
    </row>
    <row r="20" spans="1:11" ht="15" customHeight="1" x14ac:dyDescent="0.25">
      <c r="A20" s="16" t="s">
        <v>180</v>
      </c>
      <c r="B20" s="10"/>
      <c r="C20" s="10"/>
      <c r="D20" s="10"/>
      <c r="E20" s="10"/>
      <c r="F20" s="10"/>
      <c r="G20" s="10"/>
      <c r="H20" s="10"/>
      <c r="I20" s="10"/>
      <c r="J20" s="10"/>
      <c r="K20" s="10">
        <f>0.625/10.125</f>
        <v>6.1728395061728392E-2</v>
      </c>
    </row>
    <row r="21" spans="1:11" ht="15" customHeight="1" x14ac:dyDescent="0.25">
      <c r="A21" s="16" t="s">
        <v>128</v>
      </c>
      <c r="B21" s="10"/>
      <c r="C21" s="10"/>
      <c r="D21" s="10"/>
      <c r="E21" s="10"/>
      <c r="F21" s="10"/>
      <c r="G21" s="10"/>
      <c r="H21" s="10"/>
      <c r="I21" s="10"/>
      <c r="J21" s="21"/>
      <c r="K21" s="21">
        <f>0.5/10.125</f>
        <v>4.9382716049382713E-2</v>
      </c>
    </row>
    <row r="22" spans="1:11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5" customHeight="1" x14ac:dyDescent="0.25">
      <c r="A23" s="17" t="s">
        <v>28</v>
      </c>
      <c r="B23" s="9"/>
      <c r="C23" s="9"/>
      <c r="D23" s="9"/>
      <c r="E23" s="9"/>
      <c r="F23" s="9"/>
      <c r="G23" s="9"/>
      <c r="H23" s="9" t="s">
        <v>49</v>
      </c>
      <c r="I23" s="9"/>
      <c r="J23" s="9"/>
      <c r="K23" s="9"/>
    </row>
    <row r="24" spans="1:11" ht="15" customHeight="1" x14ac:dyDescent="0.25">
      <c r="A24" s="17" t="s">
        <v>96</v>
      </c>
      <c r="B24" s="9"/>
      <c r="C24" s="9"/>
      <c r="D24" s="9"/>
      <c r="E24" s="9"/>
      <c r="F24" s="9"/>
      <c r="G24" s="9" t="s">
        <v>49</v>
      </c>
      <c r="H24" s="9"/>
      <c r="I24" s="9"/>
      <c r="J24" s="9"/>
      <c r="K24" s="9"/>
    </row>
    <row r="25" spans="1:11" ht="27" customHeight="1" x14ac:dyDescent="0.25">
      <c r="A25" s="18" t="s">
        <v>31</v>
      </c>
      <c r="B25" s="22" t="s">
        <v>182</v>
      </c>
      <c r="C25" s="22" t="s">
        <v>49</v>
      </c>
      <c r="D25" s="22" t="s">
        <v>49</v>
      </c>
      <c r="E25" s="22" t="s">
        <v>75</v>
      </c>
      <c r="F25" s="19"/>
      <c r="G25" s="9"/>
      <c r="H25" s="9"/>
      <c r="I25" s="9" t="s">
        <v>49</v>
      </c>
      <c r="J25" s="46" t="s">
        <v>170</v>
      </c>
      <c r="K25" s="46" t="s">
        <v>98</v>
      </c>
    </row>
    <row r="26" spans="1:11" ht="15" customHeight="1" x14ac:dyDescent="0.25">
      <c r="A26" s="18" t="s">
        <v>39</v>
      </c>
      <c r="B26" s="9"/>
      <c r="C26" s="9"/>
      <c r="D26" s="20" t="s">
        <v>42</v>
      </c>
      <c r="E26" s="9"/>
      <c r="F26" s="9" t="s">
        <v>36</v>
      </c>
      <c r="G26" s="19" t="s">
        <v>51</v>
      </c>
      <c r="H26" s="19"/>
      <c r="I26" s="19"/>
      <c r="J26" s="19"/>
      <c r="K26" s="19"/>
    </row>
    <row r="27" spans="1:11" ht="27.75" customHeight="1" x14ac:dyDescent="0.25">
      <c r="A27" s="18" t="s">
        <v>40</v>
      </c>
      <c r="B27" s="22" t="s">
        <v>184</v>
      </c>
      <c r="C27" s="9"/>
      <c r="D27" s="20" t="s">
        <v>42</v>
      </c>
      <c r="E27" s="9"/>
      <c r="F27" s="9"/>
      <c r="G27" s="19"/>
      <c r="H27" s="19"/>
      <c r="I27" s="19"/>
      <c r="J27" s="19"/>
      <c r="K27" s="19"/>
    </row>
    <row r="28" spans="1:11" ht="30" customHeight="1" x14ac:dyDescent="0.25">
      <c r="A28" s="18" t="s">
        <v>41</v>
      </c>
      <c r="B28" s="9"/>
      <c r="C28" s="9"/>
      <c r="D28" s="20" t="s">
        <v>42</v>
      </c>
      <c r="E28" s="20" t="s">
        <v>75</v>
      </c>
      <c r="F28" s="9" t="s">
        <v>49</v>
      </c>
      <c r="G28" s="19" t="s">
        <v>49</v>
      </c>
      <c r="H28" s="19"/>
      <c r="I28" s="19" t="s">
        <v>185</v>
      </c>
      <c r="J28" s="19"/>
      <c r="K28" s="79" t="s">
        <v>36</v>
      </c>
    </row>
    <row r="29" spans="1:11" ht="15" customHeight="1" x14ac:dyDescent="0.25">
      <c r="A29" s="18" t="s">
        <v>43</v>
      </c>
      <c r="B29" s="9"/>
      <c r="C29" s="9"/>
      <c r="D29" s="9"/>
      <c r="E29" s="9"/>
      <c r="F29" s="9"/>
      <c r="G29" s="19"/>
      <c r="H29" s="19" t="s">
        <v>49</v>
      </c>
      <c r="I29" s="19"/>
      <c r="J29" s="19"/>
      <c r="K29" s="19"/>
    </row>
    <row r="30" spans="1:11" ht="15" customHeight="1" x14ac:dyDescent="0.25">
      <c r="A30" s="18" t="s">
        <v>44</v>
      </c>
      <c r="B30" s="20" t="s">
        <v>182</v>
      </c>
      <c r="C30" s="9"/>
      <c r="D30" s="9"/>
      <c r="E30" s="9"/>
      <c r="F30" s="9"/>
      <c r="G30" s="19"/>
      <c r="H30" s="19"/>
      <c r="I30" s="19"/>
      <c r="J30" s="19"/>
      <c r="K30" s="79" t="s">
        <v>36</v>
      </c>
    </row>
    <row r="31" spans="1:11" ht="30" customHeight="1" x14ac:dyDescent="0.25">
      <c r="A31" s="18" t="s">
        <v>45</v>
      </c>
      <c r="B31" s="9"/>
      <c r="C31" s="9"/>
      <c r="D31" s="9"/>
      <c r="E31" s="9"/>
      <c r="F31" s="9"/>
      <c r="G31" s="19"/>
      <c r="H31" s="19"/>
      <c r="I31" s="19" t="s">
        <v>185</v>
      </c>
      <c r="J31" s="19"/>
      <c r="K31" s="19"/>
    </row>
    <row r="32" spans="1:11" ht="15" customHeight="1" x14ac:dyDescent="0.25">
      <c r="A32" s="18" t="s">
        <v>52</v>
      </c>
      <c r="B32" s="9"/>
      <c r="C32" s="9"/>
      <c r="D32" s="9"/>
      <c r="E32" s="9"/>
      <c r="F32" s="9"/>
      <c r="G32" s="19"/>
      <c r="H32" s="19"/>
      <c r="I32" s="19"/>
      <c r="J32" s="19"/>
      <c r="K32" s="19"/>
    </row>
    <row r="33" spans="1:11" ht="1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5" customHeight="1" x14ac:dyDescent="0.25">
      <c r="A34" s="17" t="s">
        <v>53</v>
      </c>
      <c r="B34" s="20">
        <v>1.046</v>
      </c>
      <c r="C34" s="20">
        <v>1.054</v>
      </c>
      <c r="D34" s="20">
        <v>1.056</v>
      </c>
      <c r="E34" s="20">
        <v>1.0509999999999999</v>
      </c>
      <c r="F34" s="9">
        <v>1.0449999999999999</v>
      </c>
      <c r="G34" s="9">
        <v>1.0549999999999999</v>
      </c>
      <c r="H34" s="9">
        <v>1.054</v>
      </c>
      <c r="I34" s="9">
        <v>1.048</v>
      </c>
      <c r="J34" s="20">
        <v>1.048</v>
      </c>
      <c r="K34" s="20">
        <v>1.054</v>
      </c>
    </row>
    <row r="35" spans="1:11" ht="15" customHeight="1" x14ac:dyDescent="0.25">
      <c r="A35" s="17" t="s">
        <v>55</v>
      </c>
      <c r="B35" s="20">
        <v>1.0129999999999999</v>
      </c>
      <c r="C35" s="20">
        <v>1.016</v>
      </c>
      <c r="D35" s="20">
        <v>1.016</v>
      </c>
      <c r="E35" s="20">
        <v>1.016</v>
      </c>
      <c r="F35" s="9">
        <v>1.008</v>
      </c>
      <c r="G35" s="9">
        <v>1.016</v>
      </c>
      <c r="H35" s="9">
        <v>1.014</v>
      </c>
      <c r="I35" s="9">
        <v>1.012</v>
      </c>
      <c r="J35" s="20">
        <v>1.014</v>
      </c>
      <c r="K35" s="20">
        <v>1.014</v>
      </c>
    </row>
    <row r="36" spans="1:11" ht="15" customHeight="1" x14ac:dyDescent="0.25">
      <c r="A36" s="17" t="s">
        <v>57</v>
      </c>
      <c r="B36" s="36">
        <v>150</v>
      </c>
      <c r="C36" s="36">
        <v>150</v>
      </c>
      <c r="D36" s="42" t="s">
        <v>187</v>
      </c>
      <c r="E36" s="36">
        <v>153</v>
      </c>
      <c r="F36" s="45" t="s">
        <v>188</v>
      </c>
      <c r="G36" s="9">
        <v>153</v>
      </c>
      <c r="H36" s="9">
        <v>153</v>
      </c>
      <c r="I36" s="45" t="s">
        <v>189</v>
      </c>
      <c r="J36" s="36" t="s">
        <v>146</v>
      </c>
      <c r="K36" s="36">
        <v>152</v>
      </c>
    </row>
    <row r="37" spans="1:11" ht="15" customHeight="1" x14ac:dyDescent="0.25">
      <c r="A37" s="17" t="s">
        <v>58</v>
      </c>
      <c r="B37" s="20">
        <v>830</v>
      </c>
      <c r="C37" s="20">
        <v>830</v>
      </c>
      <c r="D37" s="20">
        <v>2278</v>
      </c>
      <c r="E37" s="20">
        <v>802</v>
      </c>
      <c r="F37" s="9">
        <v>820</v>
      </c>
      <c r="G37" s="24">
        <v>2308</v>
      </c>
      <c r="H37" s="24" t="s">
        <v>190</v>
      </c>
      <c r="I37" s="24">
        <v>2124</v>
      </c>
      <c r="J37" s="25">
        <v>2124</v>
      </c>
      <c r="K37" s="25">
        <v>2124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3.7109375" customWidth="1"/>
    <col min="2" max="2" width="12.85546875" customWidth="1"/>
    <col min="3" max="3" width="15.7109375" customWidth="1"/>
    <col min="4" max="4" width="12.85546875" customWidth="1"/>
    <col min="5" max="5" width="11.28515625" customWidth="1"/>
    <col min="6" max="6" width="9.5703125" customWidth="1"/>
    <col min="7" max="7" width="8.85546875" customWidth="1"/>
    <col min="8" max="9" width="7.5703125" customWidth="1"/>
  </cols>
  <sheetData>
    <row r="1" spans="1:7" ht="23.25" customHeight="1" x14ac:dyDescent="0.35">
      <c r="A1" s="3" t="s">
        <v>162</v>
      </c>
      <c r="B1" s="3"/>
      <c r="C1" s="3"/>
      <c r="D1" s="3"/>
      <c r="E1" s="4"/>
    </row>
    <row r="2" spans="1:7" ht="15" customHeight="1" x14ac:dyDescent="0.25">
      <c r="A2" s="4"/>
      <c r="B2" s="4"/>
      <c r="C2" s="4"/>
      <c r="D2" s="4"/>
      <c r="E2" s="4"/>
    </row>
    <row r="3" spans="1:7" ht="23.25" customHeight="1" x14ac:dyDescent="0.35">
      <c r="A3" s="4"/>
      <c r="B3" s="5">
        <v>2000</v>
      </c>
      <c r="C3" s="5">
        <v>2001</v>
      </c>
      <c r="D3" s="5">
        <v>2002</v>
      </c>
      <c r="E3" s="7">
        <v>2005</v>
      </c>
      <c r="F3" s="28">
        <v>2008</v>
      </c>
      <c r="G3" s="7">
        <v>2013</v>
      </c>
    </row>
    <row r="4" spans="1:7" ht="15" customHeight="1" x14ac:dyDescent="0.25">
      <c r="A4" s="8" t="s">
        <v>19</v>
      </c>
      <c r="B4" s="10">
        <f>8/9</f>
        <v>0.88888888888888884</v>
      </c>
      <c r="C4" s="10">
        <f>9.5/16</f>
        <v>0.59375</v>
      </c>
      <c r="D4" s="10">
        <f>12/22.5</f>
        <v>0.53333333333333333</v>
      </c>
      <c r="E4" s="10">
        <f>26/29</f>
        <v>0.89655172413793105</v>
      </c>
      <c r="F4" s="30">
        <f>19/28.25</f>
        <v>0.67256637168141598</v>
      </c>
      <c r="G4" s="10">
        <f>16.25/24.65</f>
        <v>0.65922920892494929</v>
      </c>
    </row>
    <row r="5" spans="1:7" ht="15" customHeight="1" x14ac:dyDescent="0.25">
      <c r="A5" s="8" t="s">
        <v>163</v>
      </c>
      <c r="B5" s="10"/>
      <c r="C5" s="10"/>
      <c r="D5" s="10"/>
      <c r="E5" s="10">
        <f t="shared" ref="E5:E7" si="0">1/29</f>
        <v>3.4482758620689655E-2</v>
      </c>
      <c r="F5" s="30"/>
      <c r="G5" s="10"/>
    </row>
    <row r="6" spans="1:7" ht="15" customHeight="1" x14ac:dyDescent="0.25">
      <c r="A6" s="8" t="s">
        <v>164</v>
      </c>
      <c r="B6" s="10"/>
      <c r="C6" s="10"/>
      <c r="D6" s="10"/>
      <c r="E6" s="10">
        <f t="shared" si="0"/>
        <v>3.4482758620689655E-2</v>
      </c>
      <c r="F6" s="30"/>
      <c r="G6" s="10"/>
    </row>
    <row r="7" spans="1:7" ht="15" customHeight="1" x14ac:dyDescent="0.25">
      <c r="A7" s="8" t="s">
        <v>74</v>
      </c>
      <c r="B7" s="10"/>
      <c r="C7" s="10"/>
      <c r="D7" s="10"/>
      <c r="E7" s="10">
        <f t="shared" si="0"/>
        <v>3.4482758620689655E-2</v>
      </c>
      <c r="F7" s="30"/>
      <c r="G7" s="10"/>
    </row>
    <row r="8" spans="1:7" ht="15" customHeight="1" x14ac:dyDescent="0.25">
      <c r="A8" s="8" t="s">
        <v>24</v>
      </c>
      <c r="B8" s="10">
        <f>1/9</f>
        <v>0.1111111111111111</v>
      </c>
      <c r="C8" s="10"/>
      <c r="D8" s="10">
        <f>10.5/22.5</f>
        <v>0.46666666666666667</v>
      </c>
      <c r="E8" s="10"/>
      <c r="F8" s="30">
        <f>9.25/28.25</f>
        <v>0.32743362831858408</v>
      </c>
      <c r="G8" s="10">
        <f>8.4/24.65</f>
        <v>0.34077079107505076</v>
      </c>
    </row>
    <row r="9" spans="1:7" ht="15" customHeight="1" x14ac:dyDescent="0.25">
      <c r="A9" s="16" t="s">
        <v>82</v>
      </c>
      <c r="B9" s="10"/>
      <c r="C9" s="10">
        <f>4/16</f>
        <v>0.25</v>
      </c>
      <c r="D9" s="10"/>
      <c r="E9" s="10"/>
      <c r="F9" s="30"/>
      <c r="G9" s="10"/>
    </row>
    <row r="10" spans="1:7" ht="15" customHeight="1" x14ac:dyDescent="0.25">
      <c r="A10" s="16" t="s">
        <v>21</v>
      </c>
      <c r="B10" s="10"/>
      <c r="C10" s="10">
        <f t="shared" ref="C10:C11" si="1">1/16</f>
        <v>6.25E-2</v>
      </c>
      <c r="D10" s="10"/>
      <c r="E10" s="10"/>
      <c r="F10" s="30"/>
      <c r="G10" s="10"/>
    </row>
    <row r="11" spans="1:7" ht="15" customHeight="1" x14ac:dyDescent="0.25">
      <c r="A11" s="16" t="s">
        <v>38</v>
      </c>
      <c r="B11" s="10"/>
      <c r="C11" s="10">
        <f t="shared" si="1"/>
        <v>6.25E-2</v>
      </c>
      <c r="D11" s="10"/>
      <c r="E11" s="10"/>
      <c r="F11" s="30"/>
      <c r="G11" s="10"/>
    </row>
    <row r="12" spans="1:7" ht="15" customHeight="1" x14ac:dyDescent="0.25">
      <c r="A12" s="16" t="s">
        <v>167</v>
      </c>
      <c r="B12" s="10"/>
      <c r="C12" s="10">
        <f>0.5/16</f>
        <v>3.125E-2</v>
      </c>
      <c r="D12" s="10"/>
      <c r="E12" s="10"/>
      <c r="F12" s="30"/>
      <c r="G12" s="10"/>
    </row>
    <row r="13" spans="1:7" ht="15" customHeight="1" x14ac:dyDescent="0.25">
      <c r="A13" s="35"/>
      <c r="B13" s="13"/>
      <c r="C13" s="13"/>
      <c r="D13" s="13"/>
      <c r="E13" s="13"/>
      <c r="F13" s="13"/>
      <c r="G13" s="13"/>
    </row>
    <row r="14" spans="1:7" ht="15" customHeight="1" x14ac:dyDescent="0.25">
      <c r="A14" s="4"/>
      <c r="B14" s="4"/>
      <c r="C14" s="4"/>
      <c r="D14" s="4"/>
      <c r="E14" s="4"/>
    </row>
    <row r="15" spans="1:7" ht="15" customHeight="1" x14ac:dyDescent="0.25">
      <c r="A15" s="17" t="s">
        <v>28</v>
      </c>
      <c r="B15" s="20" t="s">
        <v>49</v>
      </c>
      <c r="C15" s="9"/>
      <c r="D15" s="20" t="s">
        <v>42</v>
      </c>
      <c r="E15" s="9" t="s">
        <v>169</v>
      </c>
      <c r="F15" s="31"/>
      <c r="G15" s="9"/>
    </row>
    <row r="16" spans="1:7" ht="15" customHeight="1" x14ac:dyDescent="0.25">
      <c r="A16" s="17" t="s">
        <v>113</v>
      </c>
      <c r="B16" s="83"/>
      <c r="C16" s="83"/>
      <c r="D16" s="83"/>
      <c r="E16" s="19"/>
      <c r="F16" s="31"/>
      <c r="G16" s="9"/>
    </row>
    <row r="17" spans="1:7" ht="15" customHeight="1" x14ac:dyDescent="0.25">
      <c r="A17" s="81" t="s">
        <v>31</v>
      </c>
      <c r="B17" s="94"/>
      <c r="C17" s="89" t="s">
        <v>170</v>
      </c>
      <c r="D17" s="94"/>
      <c r="E17" s="4" t="s">
        <v>75</v>
      </c>
      <c r="F17" s="31" t="s">
        <v>158</v>
      </c>
      <c r="G17" s="9" t="s">
        <v>98</v>
      </c>
    </row>
    <row r="18" spans="1:7" ht="15" customHeight="1" x14ac:dyDescent="0.25">
      <c r="A18" s="18" t="s">
        <v>39</v>
      </c>
      <c r="B18" s="88" t="s">
        <v>42</v>
      </c>
      <c r="C18" s="84"/>
      <c r="D18" s="88" t="s">
        <v>49</v>
      </c>
      <c r="E18" s="9" t="s">
        <v>171</v>
      </c>
      <c r="F18" s="32" t="s">
        <v>86</v>
      </c>
      <c r="G18" s="19"/>
    </row>
    <row r="19" spans="1:7" ht="15" customHeight="1" x14ac:dyDescent="0.25">
      <c r="A19" s="18" t="s">
        <v>40</v>
      </c>
      <c r="B19" s="9"/>
      <c r="C19" s="20" t="s">
        <v>36</v>
      </c>
      <c r="D19" s="9"/>
      <c r="E19" s="9"/>
      <c r="F19" s="32"/>
      <c r="G19" s="19"/>
    </row>
    <row r="20" spans="1:7" ht="15" customHeight="1" x14ac:dyDescent="0.25">
      <c r="A20" s="18" t="s">
        <v>41</v>
      </c>
      <c r="B20" s="9"/>
      <c r="C20" s="9"/>
      <c r="D20" s="9"/>
      <c r="E20" s="9" t="s">
        <v>75</v>
      </c>
      <c r="F20" s="32"/>
      <c r="G20" s="19"/>
    </row>
    <row r="21" spans="1:7" ht="15" customHeight="1" x14ac:dyDescent="0.25">
      <c r="A21" s="18" t="s">
        <v>43</v>
      </c>
      <c r="B21" s="9"/>
      <c r="C21" s="20" t="s">
        <v>36</v>
      </c>
      <c r="D21" s="9"/>
      <c r="E21" s="9"/>
      <c r="F21" s="32"/>
      <c r="G21" s="19"/>
    </row>
    <row r="22" spans="1:7" ht="15" customHeight="1" x14ac:dyDescent="0.25">
      <c r="A22" s="18" t="s">
        <v>44</v>
      </c>
      <c r="B22" s="9"/>
      <c r="C22" s="9"/>
      <c r="D22" s="9"/>
      <c r="E22" s="9"/>
      <c r="F22" s="32"/>
      <c r="G22" s="19"/>
    </row>
    <row r="23" spans="1:7" ht="15" customHeight="1" x14ac:dyDescent="0.25">
      <c r="A23" s="18" t="s">
        <v>45</v>
      </c>
      <c r="B23" s="20" t="s">
        <v>36</v>
      </c>
      <c r="C23" s="9"/>
      <c r="D23" s="9"/>
      <c r="E23" s="9" t="s">
        <v>51</v>
      </c>
      <c r="F23" s="32"/>
      <c r="G23" s="19"/>
    </row>
    <row r="24" spans="1:7" ht="15" customHeight="1" x14ac:dyDescent="0.25">
      <c r="A24" s="18" t="s">
        <v>52</v>
      </c>
      <c r="B24" s="9"/>
      <c r="C24" s="9"/>
      <c r="D24" s="9"/>
      <c r="E24" s="9"/>
      <c r="F24" s="32"/>
      <c r="G24" s="19"/>
    </row>
    <row r="25" spans="1:7" ht="15" customHeight="1" x14ac:dyDescent="0.25">
      <c r="A25" s="4"/>
      <c r="B25" s="4"/>
      <c r="C25" s="4"/>
      <c r="D25" s="4"/>
      <c r="E25" s="4"/>
    </row>
    <row r="26" spans="1:7" ht="15" customHeight="1" x14ac:dyDescent="0.25">
      <c r="A26" s="17" t="s">
        <v>53</v>
      </c>
      <c r="B26" s="20">
        <v>1.0820000000000001</v>
      </c>
      <c r="C26" s="20">
        <v>1.07</v>
      </c>
      <c r="D26" s="20">
        <v>1.0780000000000001</v>
      </c>
      <c r="E26" s="9">
        <v>1.0640000000000001</v>
      </c>
      <c r="F26" s="31">
        <v>1.0720000000000001</v>
      </c>
      <c r="G26" s="9">
        <v>1.07</v>
      </c>
    </row>
    <row r="27" spans="1:7" ht="15" customHeight="1" x14ac:dyDescent="0.25">
      <c r="A27" s="17" t="s">
        <v>55</v>
      </c>
      <c r="B27" s="20">
        <v>1.0229999999999999</v>
      </c>
      <c r="C27" s="20">
        <v>1.0189999999999999</v>
      </c>
      <c r="D27" s="20">
        <v>1.0229999999999999</v>
      </c>
      <c r="E27" s="9">
        <v>1.014</v>
      </c>
      <c r="F27" s="31">
        <v>1.016</v>
      </c>
      <c r="G27" s="9">
        <v>1.0169999999999999</v>
      </c>
    </row>
    <row r="28" spans="1:7" ht="15" customHeight="1" x14ac:dyDescent="0.25">
      <c r="A28" s="17" t="s">
        <v>57</v>
      </c>
      <c r="B28" s="37" t="s">
        <v>106</v>
      </c>
      <c r="C28" s="37" t="s">
        <v>106</v>
      </c>
      <c r="D28" s="37" t="s">
        <v>172</v>
      </c>
      <c r="E28" s="45">
        <v>145</v>
      </c>
      <c r="F28" s="34" t="s">
        <v>106</v>
      </c>
      <c r="G28" s="9">
        <v>156</v>
      </c>
    </row>
    <row r="29" spans="1:7" ht="15" customHeight="1" x14ac:dyDescent="0.25">
      <c r="A29" s="17" t="s">
        <v>58</v>
      </c>
      <c r="B29" s="20">
        <v>2206</v>
      </c>
      <c r="C29" s="20">
        <v>2206</v>
      </c>
      <c r="D29" s="20">
        <v>2206</v>
      </c>
      <c r="E29" s="9">
        <v>2278</v>
      </c>
      <c r="F29" s="34">
        <v>2206</v>
      </c>
      <c r="G29" s="24">
        <v>2308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31" sqref="B31"/>
    </sheetView>
  </sheetViews>
  <sheetFormatPr defaultColWidth="15.140625" defaultRowHeight="15.75" customHeight="1" x14ac:dyDescent="0.25"/>
  <cols>
    <col min="1" max="1" width="16" customWidth="1"/>
    <col min="2" max="2" width="13" customWidth="1"/>
    <col min="3" max="3" width="11.42578125" customWidth="1"/>
    <col min="4" max="4" width="12.28515625" customWidth="1"/>
    <col min="5" max="5" width="12.140625" customWidth="1"/>
    <col min="6" max="6" width="16.42578125" customWidth="1"/>
    <col min="7" max="7" width="7.5703125" customWidth="1"/>
  </cols>
  <sheetData>
    <row r="1" spans="1:6" ht="23.25" customHeight="1" x14ac:dyDescent="0.35">
      <c r="A1" s="3" t="s">
        <v>168</v>
      </c>
      <c r="B1" s="3"/>
      <c r="C1" s="4"/>
      <c r="D1" s="4"/>
      <c r="E1" s="4"/>
    </row>
    <row r="2" spans="1:6" ht="15" customHeight="1" x14ac:dyDescent="0.25">
      <c r="A2" s="4"/>
      <c r="B2" s="4"/>
      <c r="C2" s="4"/>
      <c r="D2" s="4"/>
      <c r="E2" s="4"/>
    </row>
    <row r="3" spans="1:6" ht="23.25" customHeight="1" x14ac:dyDescent="0.35">
      <c r="A3" s="4"/>
      <c r="B3" s="44">
        <v>2003</v>
      </c>
      <c r="C3" s="43">
        <v>2007</v>
      </c>
      <c r="D3" s="7">
        <v>2012</v>
      </c>
      <c r="E3" s="7">
        <v>2014</v>
      </c>
      <c r="F3" s="5">
        <v>2015</v>
      </c>
    </row>
    <row r="4" spans="1:6" ht="15" customHeight="1" x14ac:dyDescent="0.25">
      <c r="A4" s="8" t="s">
        <v>19</v>
      </c>
      <c r="B4" s="10"/>
      <c r="C4" s="10">
        <f>4/20</f>
        <v>0.2</v>
      </c>
      <c r="D4" s="10">
        <f>3/19.5</f>
        <v>0.15384615384615385</v>
      </c>
      <c r="E4" s="10">
        <f>15.5/71.3</f>
        <v>0.21739130434782611</v>
      </c>
      <c r="F4" s="10"/>
    </row>
    <row r="5" spans="1:6" ht="15" customHeight="1" x14ac:dyDescent="0.25">
      <c r="A5" s="8" t="s">
        <v>24</v>
      </c>
      <c r="B5" s="10">
        <f>17/20.16</f>
        <v>0.84325396825396826</v>
      </c>
      <c r="C5" s="10">
        <f>14/20</f>
        <v>0.7</v>
      </c>
      <c r="D5" s="10">
        <f>12.5/19.5</f>
        <v>0.64102564102564108</v>
      </c>
      <c r="E5" s="10">
        <f>50/71.3</f>
        <v>0.70126227208976155</v>
      </c>
      <c r="F5" s="21">
        <v>0.55000000000000004</v>
      </c>
    </row>
    <row r="6" spans="1:6" ht="15" customHeight="1" x14ac:dyDescent="0.25">
      <c r="A6" s="8" t="s">
        <v>123</v>
      </c>
      <c r="B6" s="10"/>
      <c r="C6" s="10">
        <f>2/20</f>
        <v>0.1</v>
      </c>
      <c r="D6" s="10">
        <f>0.75/19.5</f>
        <v>3.8461538461538464E-2</v>
      </c>
      <c r="E6" s="10">
        <f>5.8/71.3</f>
        <v>8.134642356241234E-2</v>
      </c>
      <c r="F6" s="21">
        <v>9.1999999999999998E-2</v>
      </c>
    </row>
    <row r="7" spans="1:6" ht="15" customHeight="1" x14ac:dyDescent="0.25">
      <c r="A7" s="8" t="s">
        <v>82</v>
      </c>
      <c r="B7" s="10"/>
      <c r="C7" s="10"/>
      <c r="D7" s="10">
        <f>3/19.5</f>
        <v>0.15384615384615385</v>
      </c>
      <c r="E7" s="10"/>
      <c r="F7" s="21">
        <v>0.22900000000000001</v>
      </c>
    </row>
    <row r="8" spans="1:6" ht="15" customHeight="1" x14ac:dyDescent="0.25">
      <c r="A8" s="8" t="s">
        <v>129</v>
      </c>
      <c r="B8" s="10"/>
      <c r="C8" s="10"/>
      <c r="D8" s="10">
        <f>0.25/19.5</f>
        <v>1.282051282051282E-2</v>
      </c>
      <c r="E8" s="10"/>
      <c r="F8" s="20">
        <v>0.3</v>
      </c>
    </row>
    <row r="9" spans="1:6" ht="15" customHeight="1" x14ac:dyDescent="0.25">
      <c r="A9" s="16" t="s">
        <v>74</v>
      </c>
      <c r="B9" s="10">
        <f>2/20.16</f>
        <v>9.9206349206349201E-2</v>
      </c>
      <c r="C9" s="10"/>
      <c r="D9" s="10"/>
      <c r="E9" s="10"/>
      <c r="F9" s="21">
        <v>0.08</v>
      </c>
    </row>
    <row r="10" spans="1:6" ht="15" customHeight="1" x14ac:dyDescent="0.25">
      <c r="A10" s="16" t="s">
        <v>157</v>
      </c>
      <c r="B10" s="10">
        <f>1.16/20.16</f>
        <v>5.7539682539682536E-2</v>
      </c>
      <c r="C10" s="10"/>
      <c r="D10" s="10"/>
      <c r="E10" s="10"/>
      <c r="F10" s="10"/>
    </row>
    <row r="11" spans="1:6" ht="15" customHeight="1" x14ac:dyDescent="0.25">
      <c r="A11" s="16" t="s">
        <v>17</v>
      </c>
      <c r="B11" s="10"/>
      <c r="C11" s="10"/>
      <c r="D11" s="10"/>
      <c r="E11" s="10"/>
      <c r="F11" s="21">
        <v>4.5999999999999999E-2</v>
      </c>
    </row>
    <row r="12" spans="1:6" ht="15" customHeight="1" x14ac:dyDescent="0.25">
      <c r="A12" s="4"/>
      <c r="B12" s="4"/>
      <c r="C12" s="4"/>
      <c r="D12" s="4"/>
      <c r="E12" s="4"/>
      <c r="F12" s="4"/>
    </row>
    <row r="13" spans="1:6" ht="15" customHeight="1" x14ac:dyDescent="0.25">
      <c r="A13" s="17" t="s">
        <v>28</v>
      </c>
      <c r="B13" s="9"/>
      <c r="C13" s="9"/>
      <c r="D13" s="9"/>
      <c r="E13" s="9"/>
      <c r="F13" s="9"/>
    </row>
    <row r="14" spans="1:6" ht="15" customHeight="1" x14ac:dyDescent="0.25">
      <c r="A14" s="18" t="s">
        <v>31</v>
      </c>
      <c r="B14" s="9" t="s">
        <v>36</v>
      </c>
      <c r="C14" s="9" t="s">
        <v>36</v>
      </c>
      <c r="D14" s="19" t="s">
        <v>36</v>
      </c>
      <c r="E14" s="19" t="s">
        <v>176</v>
      </c>
      <c r="F14" s="22" t="s">
        <v>177</v>
      </c>
    </row>
    <row r="15" spans="1:6" ht="15" customHeight="1" x14ac:dyDescent="0.25">
      <c r="A15" s="18" t="s">
        <v>39</v>
      </c>
      <c r="B15" s="9"/>
      <c r="C15" s="9"/>
      <c r="D15" s="9"/>
      <c r="E15" s="9"/>
      <c r="F15" s="9"/>
    </row>
    <row r="16" spans="1:6" ht="15" customHeight="1" x14ac:dyDescent="0.25">
      <c r="A16" s="18" t="s">
        <v>40</v>
      </c>
      <c r="B16" s="9"/>
      <c r="C16" s="9" t="s">
        <v>36</v>
      </c>
      <c r="D16" s="9"/>
      <c r="E16" s="9" t="s">
        <v>36</v>
      </c>
      <c r="F16" s="9"/>
    </row>
    <row r="17" spans="1:6" ht="15" customHeight="1" x14ac:dyDescent="0.25">
      <c r="A17" s="18" t="s">
        <v>41</v>
      </c>
      <c r="B17" s="9" t="s">
        <v>36</v>
      </c>
      <c r="C17" s="9"/>
      <c r="D17" s="9"/>
      <c r="E17" s="9"/>
      <c r="F17" s="9"/>
    </row>
    <row r="18" spans="1:6" ht="15" customHeight="1" x14ac:dyDescent="0.25">
      <c r="A18" s="18" t="s">
        <v>43</v>
      </c>
      <c r="B18" s="9"/>
      <c r="C18" s="9"/>
      <c r="D18" s="9"/>
      <c r="E18" s="9"/>
      <c r="F18" s="9"/>
    </row>
    <row r="19" spans="1:6" ht="15" customHeight="1" x14ac:dyDescent="0.25">
      <c r="A19" s="18" t="s">
        <v>44</v>
      </c>
      <c r="B19" s="9"/>
      <c r="C19" s="9"/>
      <c r="D19" s="9"/>
      <c r="E19" s="9"/>
      <c r="F19" s="9"/>
    </row>
    <row r="20" spans="1:6" ht="15" customHeight="1" x14ac:dyDescent="0.25">
      <c r="A20" s="18" t="s">
        <v>45</v>
      </c>
      <c r="B20" s="9"/>
      <c r="C20" s="9"/>
      <c r="D20" s="9"/>
      <c r="E20" s="9"/>
      <c r="F20" s="9"/>
    </row>
    <row r="21" spans="1:6" ht="15" customHeight="1" x14ac:dyDescent="0.25">
      <c r="A21" s="18" t="s">
        <v>52</v>
      </c>
      <c r="B21" s="9"/>
      <c r="C21" s="9"/>
      <c r="D21" s="9"/>
      <c r="E21" s="9"/>
      <c r="F21" s="9"/>
    </row>
    <row r="22" spans="1:6" ht="15" customHeight="1" x14ac:dyDescent="0.25">
      <c r="A22" s="4"/>
      <c r="B22" s="4"/>
      <c r="C22" s="4"/>
      <c r="D22" s="4"/>
      <c r="E22" s="4"/>
      <c r="F22" s="4"/>
    </row>
    <row r="23" spans="1:6" ht="15" customHeight="1" x14ac:dyDescent="0.25">
      <c r="A23" s="17" t="s">
        <v>53</v>
      </c>
      <c r="B23" s="20">
        <v>1.095</v>
      </c>
      <c r="C23" s="9">
        <v>1.0686</v>
      </c>
      <c r="D23" s="9">
        <v>1.0860000000000001</v>
      </c>
      <c r="E23" s="9">
        <v>1.077</v>
      </c>
      <c r="F23" s="20">
        <v>1.0960000000000001</v>
      </c>
    </row>
    <row r="24" spans="1:6" ht="15" customHeight="1" x14ac:dyDescent="0.25">
      <c r="A24" s="17" t="s">
        <v>55</v>
      </c>
      <c r="B24" s="20">
        <v>1.0329999999999999</v>
      </c>
      <c r="C24" s="9" t="s">
        <v>106</v>
      </c>
      <c r="D24" s="9">
        <v>1.02</v>
      </c>
      <c r="E24" s="9">
        <v>1.018</v>
      </c>
      <c r="F24" s="20">
        <v>1.024</v>
      </c>
    </row>
    <row r="25" spans="1:6" ht="15" customHeight="1" x14ac:dyDescent="0.25">
      <c r="A25" s="17" t="s">
        <v>57</v>
      </c>
      <c r="B25" s="25" t="s">
        <v>181</v>
      </c>
      <c r="C25" s="9" t="s">
        <v>106</v>
      </c>
      <c r="D25" s="9">
        <v>150</v>
      </c>
      <c r="E25" s="9">
        <v>154</v>
      </c>
      <c r="F25" s="25" t="s">
        <v>90</v>
      </c>
    </row>
    <row r="26" spans="1:6" ht="15" customHeight="1" x14ac:dyDescent="0.25">
      <c r="A26" s="17" t="s">
        <v>58</v>
      </c>
      <c r="B26" s="20">
        <v>2206</v>
      </c>
      <c r="C26" s="9">
        <v>833</v>
      </c>
      <c r="D26" s="9">
        <v>2206</v>
      </c>
      <c r="E26" s="9">
        <v>833</v>
      </c>
      <c r="F26" s="20">
        <v>833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5.85546875" customWidth="1"/>
    <col min="2" max="2" width="11.5703125" customWidth="1"/>
    <col min="3" max="3" width="12.5703125" customWidth="1"/>
    <col min="4" max="4" width="12.28515625" customWidth="1"/>
    <col min="5" max="5" width="10" customWidth="1"/>
    <col min="6" max="6" width="11.42578125" customWidth="1"/>
    <col min="7" max="7" width="10.85546875" customWidth="1"/>
  </cols>
  <sheetData>
    <row r="1" spans="1:7" ht="23.25" customHeight="1" x14ac:dyDescent="0.35">
      <c r="A1" s="3" t="s">
        <v>173</v>
      </c>
      <c r="B1" s="4"/>
      <c r="C1" s="4"/>
      <c r="D1" s="4"/>
      <c r="F1" s="4"/>
      <c r="G1" s="4"/>
    </row>
    <row r="2" spans="1:7" ht="15" customHeight="1" x14ac:dyDescent="0.25">
      <c r="A2" s="4"/>
      <c r="B2" s="4"/>
      <c r="C2" s="4"/>
      <c r="D2" s="4"/>
      <c r="F2" s="4"/>
      <c r="G2" s="4"/>
    </row>
    <row r="3" spans="1:7" ht="23.25" customHeight="1" x14ac:dyDescent="0.35">
      <c r="A3" s="4"/>
      <c r="B3" s="7">
        <v>2004</v>
      </c>
      <c r="C3" s="28">
        <v>2006</v>
      </c>
      <c r="D3" s="7">
        <v>2009</v>
      </c>
      <c r="E3" s="7">
        <v>2010</v>
      </c>
      <c r="F3" s="7">
        <v>2011</v>
      </c>
      <c r="G3" s="5">
        <v>2016</v>
      </c>
    </row>
    <row r="4" spans="1:7" ht="15" customHeight="1" x14ac:dyDescent="0.25">
      <c r="A4" s="8" t="s">
        <v>24</v>
      </c>
      <c r="B4" s="10">
        <f>50/63</f>
        <v>0.79365079365079361</v>
      </c>
      <c r="C4" s="30">
        <f>20/37.75</f>
        <v>0.5298013245033113</v>
      </c>
      <c r="D4" s="10">
        <f>8/20.75</f>
        <v>0.38554216867469882</v>
      </c>
      <c r="E4" s="10">
        <f>25/34</f>
        <v>0.73529411764705888</v>
      </c>
      <c r="F4" s="10">
        <f>14.75/22</f>
        <v>0.67045454545454541</v>
      </c>
      <c r="G4" s="10">
        <f>11.5/28.25</f>
        <v>0.40707964601769914</v>
      </c>
    </row>
    <row r="5" spans="1:7" ht="15" customHeight="1" x14ac:dyDescent="0.25">
      <c r="A5" s="8" t="s">
        <v>19</v>
      </c>
      <c r="B5" s="10">
        <f>10/63</f>
        <v>0.15873015873015872</v>
      </c>
      <c r="C5" s="30"/>
      <c r="D5" s="10">
        <f>11.25/20.75</f>
        <v>0.54216867469879515</v>
      </c>
      <c r="E5" s="10"/>
      <c r="F5" s="10">
        <f>4.5/22</f>
        <v>0.20454545454545456</v>
      </c>
      <c r="G5" s="10">
        <f>15/28.25</f>
        <v>0.53097345132743368</v>
      </c>
    </row>
    <row r="6" spans="1:7" ht="15" customHeight="1" x14ac:dyDescent="0.25">
      <c r="A6" s="8" t="s">
        <v>17</v>
      </c>
      <c r="B6" s="10">
        <f>3/63</f>
        <v>4.7619047619047616E-2</v>
      </c>
      <c r="C6" s="30"/>
      <c r="D6" s="10"/>
      <c r="E6" s="10"/>
      <c r="F6" s="10"/>
      <c r="G6" s="10">
        <f>2.5/28.25</f>
        <v>8.8495575221238937E-2</v>
      </c>
    </row>
    <row r="7" spans="1:7" ht="15" customHeight="1" x14ac:dyDescent="0.25">
      <c r="A7" s="8" t="s">
        <v>82</v>
      </c>
      <c r="B7" s="10"/>
      <c r="C7" s="30">
        <f>10/37.75</f>
        <v>0.26490066225165565</v>
      </c>
      <c r="D7" s="10"/>
      <c r="E7" s="10">
        <f>5/34</f>
        <v>0.14705882352941177</v>
      </c>
      <c r="F7" s="10"/>
      <c r="G7" s="10">
        <f>7.5/28.25</f>
        <v>0.26548672566371684</v>
      </c>
    </row>
    <row r="8" spans="1:7" ht="15" customHeight="1" x14ac:dyDescent="0.25">
      <c r="A8" s="8" t="s">
        <v>14</v>
      </c>
      <c r="B8" s="10"/>
      <c r="C8" s="30">
        <f>6/37.75</f>
        <v>0.15894039735099338</v>
      </c>
      <c r="D8" s="10"/>
      <c r="E8" s="10"/>
      <c r="F8" s="10"/>
      <c r="G8" s="10"/>
    </row>
    <row r="9" spans="1:7" ht="15" customHeight="1" x14ac:dyDescent="0.25">
      <c r="A9" s="8" t="s">
        <v>128</v>
      </c>
      <c r="B9" s="10"/>
      <c r="C9" s="30">
        <f>1.75/37.75</f>
        <v>4.6357615894039736E-2</v>
      </c>
      <c r="D9" s="10"/>
      <c r="F9" s="10"/>
      <c r="G9" s="10"/>
    </row>
    <row r="10" spans="1:7" ht="15" customHeight="1" x14ac:dyDescent="0.25">
      <c r="A10" s="8" t="s">
        <v>120</v>
      </c>
      <c r="B10" s="10"/>
      <c r="C10" s="30"/>
      <c r="D10" s="10">
        <f>0.25/20.75</f>
        <v>1.2048192771084338E-2</v>
      </c>
      <c r="E10" s="10"/>
      <c r="F10" s="10"/>
      <c r="G10" s="10"/>
    </row>
    <row r="11" spans="1:7" ht="15" customHeight="1" x14ac:dyDescent="0.25">
      <c r="A11" s="8" t="s">
        <v>123</v>
      </c>
      <c r="B11" s="10"/>
      <c r="C11" s="30"/>
      <c r="D11" s="10">
        <f>1.25/20.75</f>
        <v>6.0240963855421686E-2</v>
      </c>
      <c r="E11" s="10">
        <f>4/34</f>
        <v>0.11764705882352941</v>
      </c>
      <c r="F11" s="10">
        <f>2.75/22</f>
        <v>0.125</v>
      </c>
      <c r="G11" s="10">
        <f>0.75/28.25</f>
        <v>2.6548672566371681E-2</v>
      </c>
    </row>
    <row r="12" spans="1:7" ht="15" customHeight="1" x14ac:dyDescent="0.25">
      <c r="A12" s="16" t="s">
        <v>186</v>
      </c>
      <c r="B12" s="10"/>
      <c r="C12" s="30"/>
      <c r="D12" s="10"/>
      <c r="E12" s="10"/>
      <c r="F12" s="10"/>
      <c r="G12" s="21">
        <v>2.7E-2</v>
      </c>
    </row>
    <row r="13" spans="1:7" ht="15" customHeight="1" x14ac:dyDescent="0.25">
      <c r="A13" s="16" t="s">
        <v>125</v>
      </c>
      <c r="B13" s="10"/>
      <c r="C13" s="30"/>
      <c r="D13" s="10"/>
      <c r="E13" s="10"/>
      <c r="F13" s="10"/>
      <c r="G13" s="10">
        <f>0.25/28.25</f>
        <v>8.8495575221238937E-3</v>
      </c>
    </row>
    <row r="14" spans="1:7" ht="15" customHeight="1" x14ac:dyDescent="0.25">
      <c r="A14" s="4"/>
      <c r="B14" s="4"/>
      <c r="C14" s="4"/>
      <c r="D14" s="4"/>
      <c r="F14" s="4"/>
      <c r="G14" s="4"/>
    </row>
    <row r="15" spans="1:7" ht="15" customHeight="1" x14ac:dyDescent="0.25">
      <c r="A15" s="4"/>
      <c r="B15" s="4"/>
      <c r="C15" s="4"/>
      <c r="D15" s="4"/>
      <c r="F15" s="4"/>
      <c r="G15" s="4"/>
    </row>
    <row r="16" spans="1:7" ht="30" customHeight="1" x14ac:dyDescent="0.25">
      <c r="A16" s="17" t="s">
        <v>28</v>
      </c>
      <c r="B16" s="19" t="s">
        <v>170</v>
      </c>
      <c r="C16" s="31"/>
      <c r="D16" s="9"/>
      <c r="E16" s="9"/>
      <c r="F16" s="9"/>
      <c r="G16" s="9"/>
    </row>
    <row r="17" spans="1:7" ht="30" customHeight="1" x14ac:dyDescent="0.25">
      <c r="A17" s="17" t="s">
        <v>96</v>
      </c>
      <c r="B17" s="19" t="s">
        <v>170</v>
      </c>
      <c r="C17" s="31"/>
      <c r="D17" s="9"/>
      <c r="E17" s="9"/>
      <c r="F17" s="9"/>
      <c r="G17" s="9"/>
    </row>
    <row r="18" spans="1:7" ht="30" customHeight="1" x14ac:dyDescent="0.25">
      <c r="A18" s="18" t="s">
        <v>31</v>
      </c>
      <c r="B18" s="19"/>
      <c r="C18" s="32" t="s">
        <v>170</v>
      </c>
      <c r="D18" s="9" t="s">
        <v>98</v>
      </c>
      <c r="E18" s="9" t="s">
        <v>191</v>
      </c>
      <c r="F18" s="9" t="s">
        <v>36</v>
      </c>
      <c r="G18" s="46" t="s">
        <v>255</v>
      </c>
    </row>
    <row r="19" spans="1:7" ht="15" customHeight="1" x14ac:dyDescent="0.25">
      <c r="A19" s="18" t="s">
        <v>39</v>
      </c>
      <c r="B19" s="19"/>
      <c r="C19" s="32"/>
      <c r="D19" s="19"/>
      <c r="E19" s="19"/>
      <c r="F19" s="19"/>
      <c r="G19" s="19"/>
    </row>
    <row r="20" spans="1:7" ht="15" customHeight="1" x14ac:dyDescent="0.25">
      <c r="A20" s="18" t="s">
        <v>40</v>
      </c>
      <c r="B20" s="19" t="s">
        <v>36</v>
      </c>
      <c r="C20" s="31" t="s">
        <v>75</v>
      </c>
      <c r="D20" s="19" t="s">
        <v>36</v>
      </c>
      <c r="E20" s="19" t="s">
        <v>86</v>
      </c>
      <c r="F20" s="19" t="s">
        <v>36</v>
      </c>
      <c r="G20" s="19"/>
    </row>
    <row r="21" spans="1:7" ht="15" customHeight="1" x14ac:dyDescent="0.25">
      <c r="A21" s="18" t="s">
        <v>41</v>
      </c>
      <c r="B21" s="19"/>
      <c r="C21" s="31"/>
      <c r="D21" s="19"/>
      <c r="E21" s="19"/>
      <c r="F21" s="19"/>
      <c r="G21" s="19"/>
    </row>
    <row r="22" spans="1:7" ht="15" customHeight="1" x14ac:dyDescent="0.25">
      <c r="A22" s="18" t="s">
        <v>43</v>
      </c>
      <c r="B22" s="19"/>
      <c r="C22" s="32"/>
      <c r="D22" s="19"/>
      <c r="E22" s="19"/>
      <c r="F22" s="19"/>
      <c r="G22" s="19"/>
    </row>
    <row r="23" spans="1:7" ht="15" customHeight="1" x14ac:dyDescent="0.25">
      <c r="A23" s="18" t="s">
        <v>44</v>
      </c>
      <c r="B23" s="19"/>
      <c r="C23" s="32"/>
      <c r="D23" s="19"/>
      <c r="E23" s="19"/>
      <c r="F23" s="19"/>
      <c r="G23" s="19"/>
    </row>
    <row r="24" spans="1:7" ht="30" customHeight="1" x14ac:dyDescent="0.25">
      <c r="A24" s="18" t="s">
        <v>45</v>
      </c>
      <c r="B24" s="19" t="s">
        <v>170</v>
      </c>
      <c r="C24" s="32"/>
      <c r="D24" s="19"/>
      <c r="E24" s="19"/>
      <c r="F24" s="19"/>
      <c r="G24" s="19"/>
    </row>
    <row r="25" spans="1:7" ht="15" customHeight="1" x14ac:dyDescent="0.25">
      <c r="A25" s="18" t="s">
        <v>52</v>
      </c>
      <c r="B25" s="9"/>
      <c r="C25" s="32"/>
      <c r="D25" s="19"/>
      <c r="E25" s="19"/>
      <c r="F25" s="19"/>
      <c r="G25" s="19"/>
    </row>
    <row r="26" spans="1:7" ht="15" customHeight="1" x14ac:dyDescent="0.25">
      <c r="A26" s="4"/>
      <c r="B26" s="4"/>
      <c r="C26" s="4"/>
      <c r="D26" s="4"/>
      <c r="F26" s="4"/>
      <c r="G26" s="4"/>
    </row>
    <row r="27" spans="1:7" ht="15" customHeight="1" x14ac:dyDescent="0.25">
      <c r="A27" s="17" t="s">
        <v>53</v>
      </c>
      <c r="B27" s="9">
        <v>1.105</v>
      </c>
      <c r="C27" s="31">
        <v>1.105</v>
      </c>
      <c r="D27" s="9">
        <v>1.0900000000000001</v>
      </c>
      <c r="E27" s="9" t="s">
        <v>106</v>
      </c>
      <c r="F27" s="9">
        <v>1.0880000000000001</v>
      </c>
      <c r="G27" s="20">
        <v>1.1739999999999999</v>
      </c>
    </row>
    <row r="28" spans="1:7" ht="15" customHeight="1" x14ac:dyDescent="0.25">
      <c r="A28" s="17" t="s">
        <v>55</v>
      </c>
      <c r="B28" s="9">
        <v>1.03</v>
      </c>
      <c r="C28" s="31">
        <v>1.034</v>
      </c>
      <c r="D28" s="9">
        <v>1.026</v>
      </c>
      <c r="E28" s="9" t="s">
        <v>106</v>
      </c>
      <c r="F28" s="9">
        <v>1.02</v>
      </c>
      <c r="G28" s="20">
        <v>1.0449999999999999</v>
      </c>
    </row>
    <row r="29" spans="1:7" ht="15" customHeight="1" x14ac:dyDescent="0.25">
      <c r="A29" s="17" t="s">
        <v>57</v>
      </c>
      <c r="B29" s="33">
        <v>154</v>
      </c>
      <c r="C29" s="31">
        <v>152</v>
      </c>
      <c r="D29" s="9">
        <v>156</v>
      </c>
      <c r="E29" s="25" t="s">
        <v>193</v>
      </c>
      <c r="F29" s="33">
        <v>155</v>
      </c>
      <c r="G29" s="36">
        <v>154</v>
      </c>
    </row>
    <row r="30" spans="1:7" ht="15" customHeight="1" x14ac:dyDescent="0.25">
      <c r="A30" s="17" t="s">
        <v>58</v>
      </c>
      <c r="B30" s="9">
        <v>2206</v>
      </c>
      <c r="C30" s="34">
        <v>2206</v>
      </c>
      <c r="D30" s="24">
        <v>2124</v>
      </c>
      <c r="E30" s="24">
        <v>838</v>
      </c>
      <c r="F30" s="24">
        <v>833</v>
      </c>
      <c r="G30" s="25">
        <v>2633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14" sqref="G14"/>
    </sheetView>
  </sheetViews>
  <sheetFormatPr defaultColWidth="15.140625" defaultRowHeight="15.75" customHeight="1" x14ac:dyDescent="0.25"/>
  <cols>
    <col min="1" max="3" width="13.42578125" customWidth="1"/>
    <col min="4" max="4" width="12.5703125" customWidth="1"/>
    <col min="5" max="5" width="11.28515625" customWidth="1"/>
    <col min="6" max="6" width="12.140625" customWidth="1"/>
    <col min="7" max="7" width="11" customWidth="1"/>
    <col min="8" max="8" width="7.5703125" customWidth="1"/>
  </cols>
  <sheetData>
    <row r="1" spans="1:7" ht="23.25" customHeight="1" x14ac:dyDescent="0.35">
      <c r="A1" s="3" t="s">
        <v>183</v>
      </c>
      <c r="B1" s="3"/>
      <c r="C1" s="3"/>
      <c r="D1" s="4"/>
      <c r="E1" s="4"/>
      <c r="F1" s="4"/>
    </row>
    <row r="2" spans="1:7" ht="15" customHeight="1" x14ac:dyDescent="0.25">
      <c r="A2" s="4"/>
      <c r="B2" s="4"/>
      <c r="C2" s="4"/>
      <c r="D2" s="4"/>
      <c r="E2" s="4"/>
      <c r="F2" s="4"/>
    </row>
    <row r="3" spans="1:7" ht="23.25" customHeight="1" x14ac:dyDescent="0.35">
      <c r="A3" s="4"/>
      <c r="B3" s="5">
        <v>2000</v>
      </c>
      <c r="C3" s="5">
        <v>2002</v>
      </c>
      <c r="D3" s="7">
        <v>2006</v>
      </c>
      <c r="E3" s="28">
        <v>2008</v>
      </c>
      <c r="F3" s="7">
        <v>2011</v>
      </c>
      <c r="G3" s="5">
        <v>2015</v>
      </c>
    </row>
    <row r="4" spans="1:7" ht="15" customHeight="1" x14ac:dyDescent="0.25">
      <c r="A4" s="8" t="s">
        <v>19</v>
      </c>
      <c r="B4" s="10"/>
      <c r="C4" s="10"/>
      <c r="D4" s="10">
        <f>25/27</f>
        <v>0.92592592592592593</v>
      </c>
      <c r="E4" s="30">
        <f>8/18</f>
        <v>0.44444444444444442</v>
      </c>
      <c r="F4" s="10"/>
      <c r="G4" s="21">
        <v>0.42199999999999999</v>
      </c>
    </row>
    <row r="5" spans="1:7" ht="15" customHeight="1" x14ac:dyDescent="0.25">
      <c r="A5" s="8" t="s">
        <v>25</v>
      </c>
      <c r="B5" s="10">
        <f>1/6</f>
        <v>0.16666666666666666</v>
      </c>
      <c r="C5" s="10">
        <f>4/20.5</f>
        <v>0.1951219512195122</v>
      </c>
      <c r="D5" s="10">
        <f>2/27</f>
        <v>7.407407407407407E-2</v>
      </c>
      <c r="E5" s="30">
        <f>1/18</f>
        <v>5.5555555555555552E-2</v>
      </c>
      <c r="F5" s="10"/>
      <c r="G5" s="21">
        <v>8.8999999999999996E-2</v>
      </c>
    </row>
    <row r="6" spans="1:7" ht="15" customHeight="1" x14ac:dyDescent="0.25">
      <c r="A6" s="8" t="s">
        <v>14</v>
      </c>
      <c r="B6" s="10">
        <f>5/6</f>
        <v>0.83333333333333337</v>
      </c>
      <c r="C6" s="10"/>
      <c r="D6" s="10"/>
      <c r="E6" s="30">
        <f>8/18</f>
        <v>0.44444444444444442</v>
      </c>
      <c r="F6" s="10">
        <v>1</v>
      </c>
      <c r="G6" s="21">
        <v>0.42199999999999999</v>
      </c>
    </row>
    <row r="7" spans="1:7" ht="15" customHeight="1" x14ac:dyDescent="0.25">
      <c r="A7" s="8" t="s">
        <v>192</v>
      </c>
      <c r="B7" s="10"/>
      <c r="C7" s="10"/>
      <c r="D7" s="10"/>
      <c r="E7" s="30">
        <f>1/18</f>
        <v>5.5555555555555552E-2</v>
      </c>
      <c r="F7" s="10"/>
      <c r="G7" s="21">
        <v>6.7000000000000004E-2</v>
      </c>
    </row>
    <row r="8" spans="1:7" ht="15" customHeight="1" x14ac:dyDescent="0.25">
      <c r="A8" s="16" t="s">
        <v>118</v>
      </c>
      <c r="B8" s="10"/>
      <c r="C8" s="10">
        <f>0.5/20.5</f>
        <v>2.4390243902439025E-2</v>
      </c>
      <c r="D8" s="10"/>
      <c r="E8" s="30"/>
      <c r="F8" s="10"/>
      <c r="G8" s="10"/>
    </row>
    <row r="9" spans="1:7" ht="15" customHeight="1" x14ac:dyDescent="0.25">
      <c r="A9" s="16" t="s">
        <v>16</v>
      </c>
      <c r="B9" s="10"/>
      <c r="C9" s="10">
        <f>16/20.5</f>
        <v>0.78048780487804881</v>
      </c>
      <c r="D9" s="10"/>
      <c r="E9" s="30"/>
      <c r="F9" s="10"/>
      <c r="G9" s="10"/>
    </row>
    <row r="10" spans="1:7" ht="15" customHeight="1" x14ac:dyDescent="0.25">
      <c r="A10" s="35"/>
      <c r="B10" s="13"/>
      <c r="C10" s="13"/>
      <c r="D10" s="13"/>
      <c r="E10" s="13"/>
      <c r="F10" s="13"/>
      <c r="G10" s="13"/>
    </row>
    <row r="11" spans="1:7" ht="15" customHeight="1" x14ac:dyDescent="0.25">
      <c r="A11" s="4"/>
      <c r="B11" s="4"/>
      <c r="C11" s="4"/>
      <c r="D11" s="4"/>
      <c r="E11" s="4"/>
      <c r="F11" s="4"/>
      <c r="G11" s="4"/>
    </row>
    <row r="12" spans="1:7" ht="15" customHeight="1" x14ac:dyDescent="0.25">
      <c r="A12" s="17" t="s">
        <v>28</v>
      </c>
      <c r="B12" s="9"/>
      <c r="C12" s="9"/>
      <c r="D12" s="9"/>
      <c r="E12" s="31"/>
      <c r="F12" s="9"/>
      <c r="G12" s="9"/>
    </row>
    <row r="13" spans="1:7" ht="15" customHeight="1" x14ac:dyDescent="0.25">
      <c r="A13" s="17" t="s">
        <v>113</v>
      </c>
      <c r="B13" s="83"/>
      <c r="C13" s="83"/>
      <c r="D13" s="19"/>
      <c r="E13" s="31"/>
      <c r="F13" s="9"/>
      <c r="G13" s="95"/>
    </row>
    <row r="14" spans="1:7" ht="15" customHeight="1" x14ac:dyDescent="0.25">
      <c r="A14" s="81" t="s">
        <v>31</v>
      </c>
      <c r="B14" s="85" t="s">
        <v>195</v>
      </c>
      <c r="C14" s="89" t="s">
        <v>47</v>
      </c>
      <c r="D14" s="4" t="s">
        <v>36</v>
      </c>
      <c r="E14" s="31" t="s">
        <v>36</v>
      </c>
      <c r="F14" s="31" t="s">
        <v>196</v>
      </c>
      <c r="G14" s="94" t="s">
        <v>36</v>
      </c>
    </row>
    <row r="15" spans="1:7" ht="15" customHeight="1" x14ac:dyDescent="0.25">
      <c r="A15" s="18" t="s">
        <v>39</v>
      </c>
      <c r="B15" s="84"/>
      <c r="C15" s="84"/>
      <c r="D15" s="9"/>
      <c r="E15" s="32"/>
      <c r="F15" s="19"/>
      <c r="G15" s="90"/>
    </row>
    <row r="16" spans="1:7" ht="15" customHeight="1" x14ac:dyDescent="0.25">
      <c r="A16" s="18" t="s">
        <v>40</v>
      </c>
      <c r="B16" s="20" t="s">
        <v>42</v>
      </c>
      <c r="C16" s="9"/>
      <c r="D16" s="9" t="s">
        <v>36</v>
      </c>
      <c r="E16" s="32"/>
      <c r="F16" s="79" t="s">
        <v>196</v>
      </c>
      <c r="G16" s="19"/>
    </row>
    <row r="17" spans="1:7" ht="15" customHeight="1" x14ac:dyDescent="0.25">
      <c r="A17" s="18" t="s">
        <v>41</v>
      </c>
      <c r="B17" s="9"/>
      <c r="C17" s="9"/>
      <c r="D17" s="9"/>
      <c r="E17" s="32"/>
      <c r="F17" s="19"/>
      <c r="G17" s="19"/>
    </row>
    <row r="18" spans="1:7" ht="15" customHeight="1" x14ac:dyDescent="0.25">
      <c r="A18" s="18" t="s">
        <v>43</v>
      </c>
      <c r="B18" s="9"/>
      <c r="C18" s="9"/>
      <c r="D18" s="9"/>
      <c r="E18" s="32"/>
      <c r="F18" s="19"/>
      <c r="G18" s="19"/>
    </row>
    <row r="19" spans="1:7" ht="15" customHeight="1" x14ac:dyDescent="0.25">
      <c r="A19" s="18" t="s">
        <v>44</v>
      </c>
      <c r="B19" s="9"/>
      <c r="C19" s="20" t="s">
        <v>47</v>
      </c>
      <c r="D19" s="9"/>
      <c r="E19" s="32"/>
      <c r="F19" s="19"/>
      <c r="G19" s="83"/>
    </row>
    <row r="20" spans="1:7" ht="15" customHeight="1" x14ac:dyDescent="0.25">
      <c r="A20" s="18" t="s">
        <v>45</v>
      </c>
      <c r="B20" s="9"/>
      <c r="C20" s="9"/>
      <c r="D20" s="9"/>
      <c r="E20" s="32" t="s">
        <v>36</v>
      </c>
      <c r="F20" s="32" t="s">
        <v>196</v>
      </c>
      <c r="G20" s="94" t="s">
        <v>36</v>
      </c>
    </row>
    <row r="21" spans="1:7" ht="15" customHeight="1" x14ac:dyDescent="0.25">
      <c r="A21" s="18" t="s">
        <v>52</v>
      </c>
      <c r="B21" s="9"/>
      <c r="C21" s="9"/>
      <c r="D21" s="9"/>
      <c r="E21" s="32"/>
      <c r="F21" s="19"/>
      <c r="G21" s="90"/>
    </row>
    <row r="22" spans="1:7" ht="15" customHeight="1" x14ac:dyDescent="0.25">
      <c r="A22" s="4"/>
      <c r="B22" s="6"/>
      <c r="C22" s="4"/>
      <c r="D22" s="4"/>
      <c r="E22" s="4"/>
      <c r="F22" s="4"/>
      <c r="G22" s="4"/>
    </row>
    <row r="23" spans="1:7" ht="15" customHeight="1" x14ac:dyDescent="0.25">
      <c r="A23" s="17" t="s">
        <v>53</v>
      </c>
      <c r="B23" s="20">
        <v>1.0469999999999999</v>
      </c>
      <c r="C23" s="20">
        <v>1.0529999999999999</v>
      </c>
      <c r="D23" s="9">
        <v>1.052</v>
      </c>
      <c r="E23" s="31">
        <v>1.0509999999999999</v>
      </c>
      <c r="F23" s="9">
        <v>1.054</v>
      </c>
      <c r="G23" s="20">
        <v>1.0569999999999999</v>
      </c>
    </row>
    <row r="24" spans="1:7" ht="15" customHeight="1" x14ac:dyDescent="0.25">
      <c r="A24" s="17" t="s">
        <v>55</v>
      </c>
      <c r="B24" s="20">
        <v>1.0189999999999999</v>
      </c>
      <c r="C24" s="20">
        <v>1.0149999999999999</v>
      </c>
      <c r="D24" s="9">
        <v>1.01</v>
      </c>
      <c r="E24" s="31">
        <v>1.008</v>
      </c>
      <c r="F24" s="9">
        <v>1.0149999999999999</v>
      </c>
      <c r="G24" s="20">
        <v>1.008</v>
      </c>
    </row>
    <row r="25" spans="1:7" ht="15" customHeight="1" x14ac:dyDescent="0.25">
      <c r="A25" s="17" t="s">
        <v>57</v>
      </c>
      <c r="B25" s="36">
        <v>152</v>
      </c>
      <c r="C25" s="45" t="s">
        <v>197</v>
      </c>
      <c r="D25" s="33">
        <v>153</v>
      </c>
      <c r="E25" s="31">
        <v>149</v>
      </c>
      <c r="F25" s="9">
        <v>154</v>
      </c>
      <c r="G25" s="20">
        <v>149</v>
      </c>
    </row>
    <row r="26" spans="1:7" ht="15" customHeight="1" x14ac:dyDescent="0.25">
      <c r="A26" s="17" t="s">
        <v>58</v>
      </c>
      <c r="B26" s="25" t="s">
        <v>199</v>
      </c>
      <c r="C26" s="20">
        <v>810</v>
      </c>
      <c r="D26" s="9">
        <v>2112</v>
      </c>
      <c r="E26" s="34" t="s">
        <v>199</v>
      </c>
      <c r="F26" s="24" t="s">
        <v>200</v>
      </c>
      <c r="G26" s="25" t="s">
        <v>201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2" sqref="A2"/>
    </sheetView>
  </sheetViews>
  <sheetFormatPr defaultColWidth="15.140625" defaultRowHeight="15.75" customHeight="1" x14ac:dyDescent="0.25"/>
  <cols>
    <col min="1" max="2" width="14.28515625" customWidth="1"/>
    <col min="3" max="3" width="12.28515625" customWidth="1"/>
    <col min="4" max="4" width="11" customWidth="1"/>
    <col min="5" max="7" width="7.5703125" customWidth="1"/>
  </cols>
  <sheetData>
    <row r="1" spans="1:4" ht="23.25" customHeight="1" x14ac:dyDescent="0.35">
      <c r="A1" s="3" t="s">
        <v>194</v>
      </c>
      <c r="B1" s="3"/>
      <c r="C1" s="4"/>
    </row>
    <row r="2" spans="1:4" ht="15" customHeight="1" x14ac:dyDescent="0.25">
      <c r="A2" s="4"/>
      <c r="B2" s="4"/>
      <c r="C2" s="4"/>
    </row>
    <row r="3" spans="1:4" ht="23.25" customHeight="1" x14ac:dyDescent="0.35">
      <c r="A3" s="4"/>
      <c r="B3" s="44">
        <v>2001</v>
      </c>
      <c r="C3" s="43">
        <v>2004</v>
      </c>
      <c r="D3" s="7">
        <v>2012</v>
      </c>
    </row>
    <row r="4" spans="1:4" ht="15" customHeight="1" x14ac:dyDescent="0.25">
      <c r="A4" s="8" t="s">
        <v>14</v>
      </c>
      <c r="B4" s="10"/>
      <c r="C4" s="10">
        <f>6.5/11.25</f>
        <v>0.57777777777777772</v>
      </c>
      <c r="D4" s="10"/>
    </row>
    <row r="5" spans="1:4" ht="15" customHeight="1" x14ac:dyDescent="0.25">
      <c r="A5" s="8" t="s">
        <v>112</v>
      </c>
      <c r="B5" s="10"/>
      <c r="C5" s="10">
        <f>3/11.25</f>
        <v>0.26666666666666666</v>
      </c>
      <c r="D5" s="10">
        <f>7/19</f>
        <v>0.36842105263157893</v>
      </c>
    </row>
    <row r="6" spans="1:4" ht="15" customHeight="1" x14ac:dyDescent="0.25">
      <c r="A6" s="8" t="s">
        <v>21</v>
      </c>
      <c r="B6" s="10"/>
      <c r="C6" s="10">
        <f>0.75/11.25</f>
        <v>6.6666666666666666E-2</v>
      </c>
      <c r="D6" s="10"/>
    </row>
    <row r="7" spans="1:4" ht="15" customHeight="1" x14ac:dyDescent="0.25">
      <c r="A7" s="8" t="s">
        <v>126</v>
      </c>
      <c r="B7" s="10">
        <f>2/21.5</f>
        <v>9.3023255813953487E-2</v>
      </c>
      <c r="C7" s="10">
        <f t="shared" ref="C7:C8" si="0">0.5/11.25</f>
        <v>4.4444444444444446E-2</v>
      </c>
      <c r="D7" s="10">
        <f>1/19</f>
        <v>5.2631578947368418E-2</v>
      </c>
    </row>
    <row r="8" spans="1:4" ht="15" customHeight="1" x14ac:dyDescent="0.25">
      <c r="A8" s="8" t="s">
        <v>82</v>
      </c>
      <c r="B8" s="10"/>
      <c r="C8" s="10">
        <f t="shared" si="0"/>
        <v>4.4444444444444446E-2</v>
      </c>
      <c r="D8" s="10"/>
    </row>
    <row r="9" spans="1:4" ht="15" customHeight="1" x14ac:dyDescent="0.25">
      <c r="A9" s="8" t="s">
        <v>203</v>
      </c>
      <c r="B9" s="10"/>
      <c r="C9" s="10"/>
      <c r="D9" s="10">
        <f>9/19</f>
        <v>0.47368421052631576</v>
      </c>
    </row>
    <row r="10" spans="1:4" ht="15" customHeight="1" x14ac:dyDescent="0.25">
      <c r="A10" s="8" t="s">
        <v>19</v>
      </c>
      <c r="B10" s="10">
        <f>18/21.5</f>
        <v>0.83720930232558144</v>
      </c>
      <c r="C10" s="10"/>
      <c r="D10" s="10">
        <f t="shared" ref="D10:D11" si="1">1/19</f>
        <v>5.2631578947368418E-2</v>
      </c>
    </row>
    <row r="11" spans="1:4" ht="15" customHeight="1" x14ac:dyDescent="0.25">
      <c r="A11" s="8" t="s">
        <v>24</v>
      </c>
      <c r="B11" s="10">
        <f>1/21.5</f>
        <v>4.6511627906976744E-2</v>
      </c>
      <c r="C11" s="10"/>
      <c r="D11" s="10">
        <f t="shared" si="1"/>
        <v>5.2631578947368418E-2</v>
      </c>
    </row>
    <row r="12" spans="1:4" ht="15" customHeight="1" x14ac:dyDescent="0.25">
      <c r="A12" s="16" t="s">
        <v>17</v>
      </c>
      <c r="B12" s="10">
        <f>0.5/21.5</f>
        <v>2.3255813953488372E-2</v>
      </c>
      <c r="C12" s="10"/>
      <c r="D12" s="10"/>
    </row>
    <row r="13" spans="1:4" ht="15" customHeight="1" x14ac:dyDescent="0.25">
      <c r="A13" s="4"/>
      <c r="B13" s="4"/>
      <c r="C13" s="4"/>
    </row>
    <row r="14" spans="1:4" ht="15" customHeight="1" x14ac:dyDescent="0.25">
      <c r="A14" s="4"/>
      <c r="B14" s="4"/>
      <c r="C14" s="4"/>
    </row>
    <row r="15" spans="1:4" ht="15" customHeight="1" x14ac:dyDescent="0.25">
      <c r="A15" s="17" t="s">
        <v>28</v>
      </c>
      <c r="B15" s="9"/>
      <c r="C15" s="9"/>
      <c r="D15" s="9"/>
    </row>
    <row r="16" spans="1:4" ht="16.5" customHeight="1" x14ac:dyDescent="0.25">
      <c r="A16" s="38" t="s">
        <v>113</v>
      </c>
      <c r="B16" s="20" t="s">
        <v>42</v>
      </c>
      <c r="C16" s="9"/>
      <c r="D16" s="9"/>
    </row>
    <row r="17" spans="1:4" ht="30" customHeight="1" x14ac:dyDescent="0.25">
      <c r="A17" s="18" t="s">
        <v>31</v>
      </c>
      <c r="B17" s="19"/>
      <c r="C17" s="19" t="s">
        <v>185</v>
      </c>
      <c r="D17" s="19" t="s">
        <v>206</v>
      </c>
    </row>
    <row r="18" spans="1:4" ht="15" customHeight="1" x14ac:dyDescent="0.25">
      <c r="A18" s="18" t="s">
        <v>39</v>
      </c>
      <c r="B18" s="9"/>
      <c r="C18" s="9"/>
      <c r="D18" s="9"/>
    </row>
    <row r="19" spans="1:4" ht="15" customHeight="1" x14ac:dyDescent="0.25">
      <c r="A19" s="18" t="s">
        <v>40</v>
      </c>
      <c r="B19" s="20" t="s">
        <v>42</v>
      </c>
      <c r="C19" s="9"/>
      <c r="D19" s="9"/>
    </row>
    <row r="20" spans="1:4" ht="15" customHeight="1" x14ac:dyDescent="0.25">
      <c r="A20" s="18" t="s">
        <v>41</v>
      </c>
      <c r="B20" s="20" t="s">
        <v>42</v>
      </c>
      <c r="C20" s="9"/>
      <c r="D20" s="9" t="s">
        <v>42</v>
      </c>
    </row>
    <row r="21" spans="1:4" ht="30" customHeight="1" x14ac:dyDescent="0.25">
      <c r="A21" s="18" t="s">
        <v>43</v>
      </c>
      <c r="B21" s="19"/>
      <c r="C21" s="19" t="s">
        <v>208</v>
      </c>
      <c r="D21" s="9"/>
    </row>
    <row r="22" spans="1:4" ht="15" customHeight="1" x14ac:dyDescent="0.25">
      <c r="A22" s="18" t="s">
        <v>44</v>
      </c>
      <c r="B22" s="20" t="s">
        <v>42</v>
      </c>
      <c r="C22" s="9"/>
      <c r="D22" s="9"/>
    </row>
    <row r="23" spans="1:4" ht="15" customHeight="1" x14ac:dyDescent="0.25">
      <c r="A23" s="18" t="s">
        <v>45</v>
      </c>
      <c r="B23" s="9"/>
      <c r="C23" s="9"/>
      <c r="D23" s="9"/>
    </row>
    <row r="24" spans="1:4" ht="30" customHeight="1" x14ac:dyDescent="0.25">
      <c r="A24" s="18" t="s">
        <v>52</v>
      </c>
      <c r="B24" s="19"/>
      <c r="C24" s="19" t="s">
        <v>210</v>
      </c>
      <c r="D24" s="9"/>
    </row>
    <row r="25" spans="1:4" ht="15" customHeight="1" x14ac:dyDescent="0.25">
      <c r="A25" s="4"/>
      <c r="B25" s="4"/>
      <c r="C25" s="4"/>
    </row>
    <row r="26" spans="1:4" ht="15" customHeight="1" x14ac:dyDescent="0.25">
      <c r="A26" s="17" t="s">
        <v>53</v>
      </c>
      <c r="B26" s="20">
        <v>1.0509999999999999</v>
      </c>
      <c r="C26" s="9">
        <v>1.054</v>
      </c>
      <c r="D26" s="9">
        <v>1.0549999999999999</v>
      </c>
    </row>
    <row r="27" spans="1:4" ht="15" customHeight="1" x14ac:dyDescent="0.25">
      <c r="A27" s="17" t="s">
        <v>55</v>
      </c>
      <c r="B27" s="25" t="s">
        <v>106</v>
      </c>
      <c r="C27" s="9">
        <v>1.012</v>
      </c>
      <c r="D27" s="9">
        <v>1.008</v>
      </c>
    </row>
    <row r="28" spans="1:4" ht="15" customHeight="1" x14ac:dyDescent="0.25">
      <c r="A28" s="17" t="s">
        <v>57</v>
      </c>
      <c r="B28" s="25">
        <v>155</v>
      </c>
      <c r="C28" s="24" t="s">
        <v>211</v>
      </c>
      <c r="D28" s="9">
        <v>150</v>
      </c>
    </row>
    <row r="29" spans="1:4" ht="15" customHeight="1" x14ac:dyDescent="0.25">
      <c r="A29" s="17" t="s">
        <v>58</v>
      </c>
      <c r="B29" s="20">
        <v>2278</v>
      </c>
      <c r="C29" s="9">
        <v>1056</v>
      </c>
      <c r="D29" s="9">
        <v>1968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workbookViewId="0"/>
  </sheetViews>
  <sheetFormatPr defaultColWidth="15.140625" defaultRowHeight="15.75" customHeight="1" x14ac:dyDescent="0.25"/>
  <cols>
    <col min="1" max="5" width="7.5703125" customWidth="1"/>
    <col min="6" max="6" width="46.42578125" customWidth="1"/>
  </cols>
  <sheetData>
    <row r="1" spans="1:2" ht="15" customHeight="1" x14ac:dyDescent="0.25">
      <c r="A1" s="1" t="s">
        <v>5</v>
      </c>
    </row>
    <row r="2" spans="1:2" ht="15" customHeight="1" x14ac:dyDescent="0.25">
      <c r="A2" s="2" t="str">
        <f>HYPERLINK("http://wiki.homebrewersassociation.org/AHA-National-Homebrew-Competition-Winners-Circle","Link to recipes in full form")</f>
        <v>Link to recipes in full form</v>
      </c>
    </row>
    <row r="3" spans="1:2" ht="15" customHeight="1" x14ac:dyDescent="0.25"/>
    <row r="4" spans="1:2" ht="15" customHeight="1" x14ac:dyDescent="0.25">
      <c r="A4" s="1" t="s">
        <v>7</v>
      </c>
    </row>
    <row r="5" spans="1:2" ht="15" customHeight="1" x14ac:dyDescent="0.25"/>
    <row r="6" spans="1:2" ht="15" customHeight="1" x14ac:dyDescent="0.25">
      <c r="A6" s="6" t="s">
        <v>8</v>
      </c>
    </row>
    <row r="7" spans="1:2" ht="15" customHeight="1" x14ac:dyDescent="0.25">
      <c r="B7" s="4" t="s">
        <v>9</v>
      </c>
    </row>
    <row r="8" spans="1:2" ht="15" customHeight="1" x14ac:dyDescent="0.25">
      <c r="A8" s="4" t="s">
        <v>10</v>
      </c>
    </row>
    <row r="9" spans="1:2" ht="15" customHeight="1" x14ac:dyDescent="0.25">
      <c r="A9" s="4" t="s">
        <v>11</v>
      </c>
    </row>
    <row r="10" spans="1:2" ht="15" customHeight="1" x14ac:dyDescent="0.25">
      <c r="A10" s="4" t="s">
        <v>12</v>
      </c>
    </row>
    <row r="11" spans="1:2" ht="15" customHeight="1" x14ac:dyDescent="0.25">
      <c r="B11" s="4" t="s">
        <v>13</v>
      </c>
    </row>
    <row r="12" spans="1:2" ht="15" customHeight="1" x14ac:dyDescent="0.25">
      <c r="A12" s="77" t="s">
        <v>720</v>
      </c>
    </row>
    <row r="13" spans="1:2" ht="15" customHeight="1" x14ac:dyDescent="0.25"/>
    <row r="14" spans="1:2" ht="15" customHeight="1" x14ac:dyDescent="0.25"/>
    <row r="15" spans="1:2" ht="15" customHeight="1" x14ac:dyDescent="0.25"/>
    <row r="16" spans="1: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</sheetData>
  <hyperlinks>
    <hyperlink ref="A2" r:id="rId1" display="http://wiki.homebrewersassociation.org/AHA-National-Homebrew-Competition-Winners-Circle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A2" sqref="A2"/>
    </sheetView>
  </sheetViews>
  <sheetFormatPr defaultColWidth="15.140625" defaultRowHeight="15.75" customHeight="1" x14ac:dyDescent="0.25"/>
  <cols>
    <col min="1" max="4" width="13.5703125" customWidth="1"/>
    <col min="5" max="5" width="16.5703125" customWidth="1"/>
    <col min="6" max="6" width="11.28515625" customWidth="1"/>
    <col min="7" max="7" width="13.7109375" customWidth="1"/>
    <col min="8" max="8" width="11.85546875" customWidth="1"/>
    <col min="9" max="9" width="11.7109375" customWidth="1"/>
    <col min="10" max="10" width="10.85546875" customWidth="1"/>
    <col min="11" max="11" width="9.5703125" customWidth="1"/>
  </cols>
  <sheetData>
    <row r="1" spans="1:11" ht="23.25" customHeight="1" x14ac:dyDescent="0.35">
      <c r="A1" s="3" t="s">
        <v>198</v>
      </c>
      <c r="B1" s="3"/>
      <c r="C1" s="3"/>
      <c r="D1" s="3"/>
      <c r="E1" s="4"/>
      <c r="F1" s="4"/>
      <c r="G1" s="4"/>
      <c r="H1" s="4"/>
      <c r="I1" s="4"/>
      <c r="J1" s="4"/>
      <c r="K1" s="4"/>
    </row>
    <row r="2" spans="1:11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3.25" customHeight="1" x14ac:dyDescent="0.35">
      <c r="A3" s="4"/>
      <c r="B3" s="5">
        <v>2000</v>
      </c>
      <c r="C3" s="5">
        <v>2001</v>
      </c>
      <c r="D3" s="5">
        <v>2002</v>
      </c>
      <c r="E3" s="7">
        <v>2004</v>
      </c>
      <c r="F3" s="7">
        <v>2005</v>
      </c>
      <c r="G3" s="7">
        <v>2007</v>
      </c>
      <c r="H3" s="7">
        <v>2010</v>
      </c>
      <c r="I3" s="7">
        <v>2014</v>
      </c>
      <c r="J3" s="5">
        <v>2016</v>
      </c>
      <c r="K3" s="11"/>
    </row>
    <row r="4" spans="1:11" ht="15" customHeight="1" x14ac:dyDescent="0.25">
      <c r="A4" s="8" t="s">
        <v>19</v>
      </c>
      <c r="B4" s="10">
        <f>8.7/9.7</f>
        <v>0.89690721649484539</v>
      </c>
      <c r="C4" s="21">
        <v>0.88</v>
      </c>
      <c r="D4" s="21">
        <v>0.88</v>
      </c>
      <c r="E4" s="10">
        <f>18.6/20.4</f>
        <v>0.91176470588235303</v>
      </c>
      <c r="F4" s="10">
        <v>1</v>
      </c>
      <c r="G4" s="10">
        <f>25/35</f>
        <v>0.7142857142857143</v>
      </c>
      <c r="H4" s="10">
        <f>9.2/9.7</f>
        <v>0.94845360824742264</v>
      </c>
      <c r="I4" s="10">
        <f>18/19</f>
        <v>0.94736842105263153</v>
      </c>
      <c r="J4" s="47">
        <f>8/9.75</f>
        <v>0.82051282051282048</v>
      </c>
      <c r="K4" s="13"/>
    </row>
    <row r="5" spans="1:11" ht="15" customHeight="1" x14ac:dyDescent="0.25">
      <c r="A5" s="8" t="s">
        <v>38</v>
      </c>
      <c r="B5" s="10">
        <f>1/9.7</f>
        <v>0.10309278350515465</v>
      </c>
      <c r="C5" s="21">
        <v>0.05</v>
      </c>
      <c r="D5" s="10"/>
      <c r="E5" s="10">
        <f>1.8/20.4</f>
        <v>8.8235294117647065E-2</v>
      </c>
      <c r="F5" s="10"/>
      <c r="G5" s="10"/>
      <c r="H5" s="10"/>
      <c r="I5" s="10"/>
      <c r="J5" s="10"/>
      <c r="K5" s="13"/>
    </row>
    <row r="6" spans="1:11" ht="15" customHeight="1" x14ac:dyDescent="0.25">
      <c r="A6" s="8" t="s">
        <v>126</v>
      </c>
      <c r="B6" s="10"/>
      <c r="C6" s="10"/>
      <c r="D6" s="21">
        <v>0.25</v>
      </c>
      <c r="E6" s="10"/>
      <c r="F6" s="10"/>
      <c r="G6" s="10">
        <f>8/35</f>
        <v>0.22857142857142856</v>
      </c>
      <c r="H6" s="10">
        <f>0.5/9.7</f>
        <v>5.1546391752577324E-2</v>
      </c>
      <c r="I6" s="10"/>
      <c r="J6" s="10"/>
      <c r="K6" s="13"/>
    </row>
    <row r="7" spans="1:11" ht="15" customHeight="1" x14ac:dyDescent="0.25">
      <c r="A7" s="8" t="s">
        <v>82</v>
      </c>
      <c r="B7" s="10"/>
      <c r="C7" s="10"/>
      <c r="D7" s="10"/>
      <c r="E7" s="10"/>
      <c r="F7" s="10"/>
      <c r="G7" s="10">
        <f>2/35</f>
        <v>5.7142857142857141E-2</v>
      </c>
      <c r="H7" s="10"/>
      <c r="I7" s="10">
        <f>1/19</f>
        <v>5.2631578947368418E-2</v>
      </c>
      <c r="J7" s="10">
        <f>1/9.75</f>
        <v>0.10256410256410256</v>
      </c>
      <c r="K7" s="13"/>
    </row>
    <row r="8" spans="1:11" ht="15" customHeight="1" x14ac:dyDescent="0.25">
      <c r="A8" s="16" t="s">
        <v>24</v>
      </c>
      <c r="B8" s="10"/>
      <c r="C8" s="21">
        <v>7.0000000000000007E-2</v>
      </c>
      <c r="D8" s="21">
        <v>7.0000000000000007E-2</v>
      </c>
      <c r="E8" s="10"/>
      <c r="F8" s="10"/>
      <c r="G8" s="10"/>
      <c r="H8" s="10"/>
      <c r="I8" s="10"/>
      <c r="J8" s="10"/>
      <c r="K8" s="13"/>
    </row>
    <row r="9" spans="1:11" ht="15" customHeight="1" x14ac:dyDescent="0.25">
      <c r="A9" s="16" t="s">
        <v>221</v>
      </c>
      <c r="B9" s="10"/>
      <c r="C9" s="21"/>
      <c r="D9" s="21">
        <v>0.25</v>
      </c>
      <c r="E9" s="10"/>
      <c r="F9" s="10"/>
      <c r="G9" s="10"/>
      <c r="H9" s="10"/>
      <c r="I9" s="10"/>
      <c r="J9" s="10"/>
      <c r="K9" s="13"/>
    </row>
    <row r="10" spans="1:11" ht="15" customHeight="1" x14ac:dyDescent="0.25">
      <c r="A10" s="16" t="s">
        <v>21</v>
      </c>
      <c r="B10" s="10"/>
      <c r="C10" s="21"/>
      <c r="D10" s="21"/>
      <c r="E10" s="10"/>
      <c r="F10" s="10"/>
      <c r="G10" s="10"/>
      <c r="H10" s="10"/>
      <c r="I10" s="10"/>
      <c r="J10" s="10">
        <f>0.5/9.75</f>
        <v>5.128205128205128E-2</v>
      </c>
      <c r="K10" s="4"/>
    </row>
    <row r="11" spans="1:11" ht="15" customHeight="1" x14ac:dyDescent="0.25">
      <c r="A11" s="16" t="s">
        <v>92</v>
      </c>
      <c r="B11" s="10"/>
      <c r="C11" s="21"/>
      <c r="D11" s="21"/>
      <c r="E11" s="10"/>
      <c r="F11" s="10"/>
      <c r="G11" s="10"/>
      <c r="H11" s="10"/>
      <c r="I11" s="10"/>
      <c r="J11" s="10">
        <f>0.25/9.75</f>
        <v>2.564102564102564E-2</v>
      </c>
      <c r="K11" s="4"/>
    </row>
    <row r="12" spans="1:11" ht="1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" customHeight="1" x14ac:dyDescent="0.25">
      <c r="A13" s="17" t="s">
        <v>28</v>
      </c>
      <c r="B13" s="9"/>
      <c r="C13" s="9"/>
      <c r="D13" s="9"/>
      <c r="E13" s="9"/>
      <c r="F13" s="9"/>
      <c r="G13" s="9"/>
      <c r="H13" s="9"/>
      <c r="I13" s="9"/>
      <c r="J13" s="9"/>
      <c r="K13" s="15"/>
    </row>
    <row r="14" spans="1:11" ht="15" customHeight="1" x14ac:dyDescent="0.25">
      <c r="A14" s="17" t="s">
        <v>96</v>
      </c>
      <c r="B14" s="20" t="s">
        <v>158</v>
      </c>
      <c r="C14" s="9"/>
      <c r="D14" s="9"/>
      <c r="E14" s="9"/>
      <c r="F14" s="9"/>
      <c r="G14" s="9"/>
      <c r="H14" s="9"/>
      <c r="I14" s="9"/>
      <c r="J14" s="9"/>
      <c r="K14" s="15"/>
    </row>
    <row r="15" spans="1:11" ht="30" customHeight="1" x14ac:dyDescent="0.25">
      <c r="A15" s="18" t="s">
        <v>31</v>
      </c>
      <c r="B15" s="19"/>
      <c r="C15" s="22" t="s">
        <v>56</v>
      </c>
      <c r="D15" s="22" t="s">
        <v>98</v>
      </c>
      <c r="E15" s="19" t="s">
        <v>224</v>
      </c>
      <c r="F15" s="19" t="s">
        <v>225</v>
      </c>
      <c r="G15" s="9" t="s">
        <v>36</v>
      </c>
      <c r="H15" s="9" t="s">
        <v>75</v>
      </c>
      <c r="I15" s="9" t="s">
        <v>36</v>
      </c>
      <c r="J15" s="20" t="s">
        <v>139</v>
      </c>
      <c r="K15" s="15"/>
    </row>
    <row r="16" spans="1:11" ht="15" customHeight="1" x14ac:dyDescent="0.25">
      <c r="A16" s="18" t="s">
        <v>39</v>
      </c>
      <c r="B16" s="20" t="s">
        <v>158</v>
      </c>
      <c r="C16" s="9"/>
      <c r="D16" s="9"/>
      <c r="E16" s="9"/>
      <c r="F16" s="19"/>
      <c r="G16" s="19"/>
      <c r="H16" s="19"/>
      <c r="I16" s="19"/>
      <c r="J16" s="19"/>
      <c r="K16" s="23"/>
    </row>
    <row r="17" spans="1:11" ht="30" customHeight="1" x14ac:dyDescent="0.25">
      <c r="A17" s="18" t="s">
        <v>40</v>
      </c>
      <c r="B17" s="9"/>
      <c r="C17" s="9"/>
      <c r="D17" s="9"/>
      <c r="E17" s="9"/>
      <c r="F17" s="19"/>
      <c r="G17" s="19" t="s">
        <v>227</v>
      </c>
      <c r="H17" s="19"/>
      <c r="I17" s="19"/>
      <c r="J17" s="19"/>
      <c r="K17" s="23"/>
    </row>
    <row r="18" spans="1:11" ht="15" customHeight="1" x14ac:dyDescent="0.25">
      <c r="A18" s="18" t="s">
        <v>41</v>
      </c>
      <c r="B18" s="20" t="s">
        <v>86</v>
      </c>
      <c r="C18" s="9"/>
      <c r="D18" s="9"/>
      <c r="E18" s="9" t="s">
        <v>224</v>
      </c>
      <c r="F18" s="19" t="s">
        <v>42</v>
      </c>
      <c r="G18" s="19"/>
      <c r="H18" s="19"/>
      <c r="I18" s="19"/>
      <c r="J18" s="22" t="s">
        <v>139</v>
      </c>
      <c r="K18" s="23"/>
    </row>
    <row r="19" spans="1:11" ht="15" customHeight="1" x14ac:dyDescent="0.25">
      <c r="A19" s="18" t="s">
        <v>43</v>
      </c>
      <c r="B19" s="9"/>
      <c r="C19" s="9"/>
      <c r="D19" s="9"/>
      <c r="E19" s="9"/>
      <c r="F19" s="19"/>
      <c r="G19" s="19"/>
      <c r="H19" s="19"/>
      <c r="I19" s="19"/>
      <c r="J19" s="19"/>
      <c r="K19" s="23"/>
    </row>
    <row r="20" spans="1:11" ht="15" customHeight="1" x14ac:dyDescent="0.25">
      <c r="A20" s="18" t="s">
        <v>44</v>
      </c>
      <c r="B20" s="9"/>
      <c r="C20" s="20" t="s">
        <v>47</v>
      </c>
      <c r="D20" s="20" t="s">
        <v>42</v>
      </c>
      <c r="E20" s="9"/>
      <c r="F20" s="19" t="s">
        <v>42</v>
      </c>
      <c r="G20" s="19"/>
      <c r="H20" s="19"/>
      <c r="I20" s="19"/>
      <c r="J20" s="19"/>
      <c r="K20" s="23"/>
    </row>
    <row r="21" spans="1:11" ht="15" customHeight="1" x14ac:dyDescent="0.25">
      <c r="A21" s="18" t="s">
        <v>45</v>
      </c>
      <c r="B21" s="9"/>
      <c r="C21" s="9"/>
      <c r="D21" s="9"/>
      <c r="E21" s="9"/>
      <c r="F21" s="19"/>
      <c r="G21" s="19"/>
      <c r="H21" s="19"/>
      <c r="I21" s="19"/>
      <c r="J21" s="22" t="s">
        <v>139</v>
      </c>
      <c r="K21" s="23"/>
    </row>
    <row r="22" spans="1:11" ht="15" customHeight="1" x14ac:dyDescent="0.25">
      <c r="A22" s="18" t="s">
        <v>52</v>
      </c>
      <c r="B22" s="9"/>
      <c r="C22" s="9"/>
      <c r="D22" s="9"/>
      <c r="E22" s="9"/>
      <c r="F22" s="19"/>
      <c r="G22" s="19"/>
      <c r="H22" s="19"/>
      <c r="I22" s="19"/>
      <c r="J22" s="19"/>
      <c r="K22" s="23"/>
    </row>
    <row r="23" spans="1:11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5" customHeight="1" x14ac:dyDescent="0.25">
      <c r="A24" s="17" t="s">
        <v>53</v>
      </c>
      <c r="B24" s="20">
        <v>1.044</v>
      </c>
      <c r="C24" s="20">
        <v>1.048</v>
      </c>
      <c r="D24" s="20">
        <v>1.05</v>
      </c>
      <c r="E24" s="9">
        <v>1.0529999999999999</v>
      </c>
      <c r="F24" s="9">
        <v>1.05</v>
      </c>
      <c r="G24" s="9">
        <v>1.0469999999999999</v>
      </c>
      <c r="H24" s="9">
        <v>1.048</v>
      </c>
      <c r="I24" s="9">
        <v>1.0509999999999999</v>
      </c>
      <c r="J24" s="20">
        <v>1.048</v>
      </c>
      <c r="K24" s="15"/>
    </row>
    <row r="25" spans="1:11" ht="15" customHeight="1" x14ac:dyDescent="0.25">
      <c r="A25" s="17" t="s">
        <v>55</v>
      </c>
      <c r="B25" s="20">
        <v>1.0029999999999999</v>
      </c>
      <c r="C25" s="20">
        <v>1.014</v>
      </c>
      <c r="D25" s="20">
        <v>1.0089999999999999</v>
      </c>
      <c r="E25" s="9">
        <v>1.016</v>
      </c>
      <c r="F25" s="9">
        <v>1.006</v>
      </c>
      <c r="G25" s="9">
        <v>1.008</v>
      </c>
      <c r="H25" s="9">
        <v>1.01</v>
      </c>
      <c r="I25" s="9">
        <v>1.01</v>
      </c>
      <c r="J25" s="20">
        <v>1.0089999999999999</v>
      </c>
      <c r="K25" s="15"/>
    </row>
    <row r="26" spans="1:11" ht="15" customHeight="1" x14ac:dyDescent="0.25">
      <c r="A26" s="17" t="s">
        <v>57</v>
      </c>
      <c r="B26" s="36">
        <v>144</v>
      </c>
      <c r="C26" s="36">
        <v>150</v>
      </c>
      <c r="D26" s="36">
        <v>154</v>
      </c>
      <c r="E26" s="45" t="s">
        <v>229</v>
      </c>
      <c r="F26" s="9">
        <v>152</v>
      </c>
      <c r="G26" s="9">
        <v>148</v>
      </c>
      <c r="H26" s="33">
        <v>150</v>
      </c>
      <c r="I26" s="45" t="s">
        <v>106</v>
      </c>
      <c r="J26" s="37">
        <v>148</v>
      </c>
      <c r="K26" s="49"/>
    </row>
    <row r="27" spans="1:11" ht="15" customHeight="1" x14ac:dyDescent="0.25">
      <c r="A27" s="17" t="s">
        <v>58</v>
      </c>
      <c r="B27" s="25" t="s">
        <v>230</v>
      </c>
      <c r="C27" s="25" t="s">
        <v>231</v>
      </c>
      <c r="D27" s="25" t="s">
        <v>231</v>
      </c>
      <c r="E27" s="9">
        <v>2565</v>
      </c>
      <c r="F27" s="24">
        <v>2112</v>
      </c>
      <c r="G27" s="24" t="s">
        <v>231</v>
      </c>
      <c r="H27" s="24">
        <v>2565</v>
      </c>
      <c r="I27" s="24" t="s">
        <v>231</v>
      </c>
      <c r="J27" s="25">
        <v>830</v>
      </c>
      <c r="K27" s="2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" sqref="A2"/>
    </sheetView>
  </sheetViews>
  <sheetFormatPr defaultColWidth="15.140625" defaultRowHeight="15.75" customHeight="1" x14ac:dyDescent="0.25"/>
  <cols>
    <col min="1" max="2" width="15.140625" customWidth="1"/>
    <col min="3" max="3" width="10.5703125" customWidth="1"/>
    <col min="4" max="4" width="16.85546875" customWidth="1"/>
    <col min="5" max="7" width="7.5703125" customWidth="1"/>
  </cols>
  <sheetData>
    <row r="1" spans="1:4" ht="23.25" customHeight="1" x14ac:dyDescent="0.35">
      <c r="A1" s="3" t="s">
        <v>202</v>
      </c>
      <c r="B1" s="3"/>
      <c r="C1" s="4"/>
      <c r="D1" s="4"/>
    </row>
    <row r="2" spans="1:4" ht="15" customHeight="1" x14ac:dyDescent="0.25">
      <c r="A2" s="4"/>
      <c r="B2" s="4"/>
      <c r="C2" s="4"/>
      <c r="D2" s="4"/>
    </row>
    <row r="3" spans="1:4" ht="23.25" customHeight="1" x14ac:dyDescent="0.35">
      <c r="A3" s="4"/>
      <c r="B3" s="44">
        <v>2003</v>
      </c>
      <c r="C3" s="43">
        <v>2009</v>
      </c>
      <c r="D3" s="7">
        <v>2013</v>
      </c>
    </row>
    <row r="4" spans="1:4" ht="15" customHeight="1" x14ac:dyDescent="0.25">
      <c r="A4" s="8" t="s">
        <v>14</v>
      </c>
      <c r="B4" s="10">
        <f>15.5/20.5</f>
        <v>0.75609756097560976</v>
      </c>
      <c r="C4" s="10">
        <v>0.5</v>
      </c>
      <c r="D4" s="10"/>
    </row>
    <row r="5" spans="1:4" ht="15" customHeight="1" x14ac:dyDescent="0.25">
      <c r="A5" s="8" t="s">
        <v>204</v>
      </c>
      <c r="B5" s="10"/>
      <c r="C5" s="10">
        <v>0.5</v>
      </c>
      <c r="D5" s="10"/>
    </row>
    <row r="6" spans="1:4" ht="15" customHeight="1" x14ac:dyDescent="0.25">
      <c r="A6" s="8" t="s">
        <v>19</v>
      </c>
      <c r="B6" s="10"/>
      <c r="C6" s="10"/>
      <c r="D6" s="10">
        <f>3.5/10</f>
        <v>0.35</v>
      </c>
    </row>
    <row r="7" spans="1:4" ht="15" customHeight="1" x14ac:dyDescent="0.25">
      <c r="A7" s="8" t="s">
        <v>38</v>
      </c>
      <c r="B7" s="10">
        <f>5/20.5</f>
        <v>0.24390243902439024</v>
      </c>
      <c r="C7" s="10"/>
      <c r="D7" s="10">
        <v>0.6</v>
      </c>
    </row>
    <row r="8" spans="1:4" ht="15" customHeight="1" x14ac:dyDescent="0.25">
      <c r="A8" s="8" t="s">
        <v>24</v>
      </c>
      <c r="B8" s="10"/>
      <c r="C8" s="10"/>
      <c r="D8" s="10">
        <v>0.05</v>
      </c>
    </row>
    <row r="9" spans="1:4" ht="15" customHeight="1" x14ac:dyDescent="0.25">
      <c r="A9" s="4"/>
      <c r="B9" s="4"/>
      <c r="C9" s="4"/>
      <c r="D9" s="4"/>
    </row>
    <row r="10" spans="1:4" ht="15" customHeight="1" x14ac:dyDescent="0.25">
      <c r="A10" s="4"/>
      <c r="B10" s="4"/>
      <c r="C10" s="4"/>
      <c r="D10" s="4"/>
    </row>
    <row r="11" spans="1:4" ht="15" customHeight="1" x14ac:dyDescent="0.25">
      <c r="A11" s="17" t="s">
        <v>28</v>
      </c>
      <c r="B11" s="9"/>
      <c r="C11" s="9"/>
      <c r="D11" s="9"/>
    </row>
    <row r="12" spans="1:4" ht="15" customHeight="1" x14ac:dyDescent="0.25">
      <c r="A12" s="18" t="s">
        <v>31</v>
      </c>
      <c r="B12" s="22" t="s">
        <v>158</v>
      </c>
      <c r="C12" s="19" t="s">
        <v>205</v>
      </c>
      <c r="D12" s="19" t="s">
        <v>36</v>
      </c>
    </row>
    <row r="13" spans="1:4" ht="15" customHeight="1" x14ac:dyDescent="0.25">
      <c r="A13" s="18" t="s">
        <v>39</v>
      </c>
      <c r="B13" s="9"/>
      <c r="C13" s="9"/>
      <c r="D13" s="9"/>
    </row>
    <row r="14" spans="1:4" ht="15" customHeight="1" x14ac:dyDescent="0.25">
      <c r="A14" s="18" t="s">
        <v>40</v>
      </c>
      <c r="B14" s="20" t="s">
        <v>158</v>
      </c>
      <c r="C14" s="9"/>
      <c r="D14" s="9"/>
    </row>
    <row r="15" spans="1:4" ht="15" customHeight="1" x14ac:dyDescent="0.25">
      <c r="A15" s="18" t="s">
        <v>41</v>
      </c>
      <c r="B15" s="9"/>
      <c r="C15" s="9"/>
      <c r="D15" s="9"/>
    </row>
    <row r="16" spans="1:4" ht="15" customHeight="1" x14ac:dyDescent="0.25">
      <c r="A16" s="18" t="s">
        <v>43</v>
      </c>
      <c r="B16" s="19"/>
      <c r="C16" s="19"/>
      <c r="D16" s="9" t="s">
        <v>205</v>
      </c>
    </row>
    <row r="17" spans="1:4" ht="15" customHeight="1" x14ac:dyDescent="0.25">
      <c r="A17" s="18" t="s">
        <v>44</v>
      </c>
      <c r="B17" s="9"/>
      <c r="C17" s="9"/>
      <c r="D17" s="9"/>
    </row>
    <row r="18" spans="1:4" ht="30" customHeight="1" x14ac:dyDescent="0.25">
      <c r="A18" s="18" t="s">
        <v>45</v>
      </c>
      <c r="B18" s="22" t="s">
        <v>206</v>
      </c>
      <c r="C18" s="19" t="s">
        <v>207</v>
      </c>
      <c r="D18" s="9" t="s">
        <v>205</v>
      </c>
    </row>
    <row r="19" spans="1:4" ht="15" customHeight="1" x14ac:dyDescent="0.25">
      <c r="A19" s="18" t="s">
        <v>52</v>
      </c>
      <c r="B19" s="19"/>
      <c r="C19" s="19"/>
      <c r="D19" s="9"/>
    </row>
    <row r="20" spans="1:4" ht="15" customHeight="1" x14ac:dyDescent="0.25">
      <c r="A20" s="4"/>
      <c r="B20" s="4"/>
      <c r="C20" s="4"/>
      <c r="D20" s="4"/>
    </row>
    <row r="21" spans="1:4" ht="15" customHeight="1" x14ac:dyDescent="0.25">
      <c r="A21" s="17" t="s">
        <v>53</v>
      </c>
      <c r="B21" s="20">
        <v>1.048</v>
      </c>
      <c r="C21" s="9">
        <v>1.048</v>
      </c>
      <c r="D21" s="9">
        <v>1.05</v>
      </c>
    </row>
    <row r="22" spans="1:4" ht="15" customHeight="1" x14ac:dyDescent="0.25">
      <c r="A22" s="17" t="s">
        <v>55</v>
      </c>
      <c r="B22" s="20">
        <v>1.0069999999999999</v>
      </c>
      <c r="C22" s="9">
        <v>1.008</v>
      </c>
      <c r="D22" s="9">
        <v>1.01</v>
      </c>
    </row>
    <row r="23" spans="1:4" ht="15" customHeight="1" x14ac:dyDescent="0.25">
      <c r="A23" s="17" t="s">
        <v>57</v>
      </c>
      <c r="B23" s="20">
        <v>153</v>
      </c>
      <c r="C23" s="9">
        <v>150</v>
      </c>
      <c r="D23" s="25" t="s">
        <v>209</v>
      </c>
    </row>
    <row r="24" spans="1:4" ht="15" customHeight="1" x14ac:dyDescent="0.25">
      <c r="A24" s="17" t="s">
        <v>58</v>
      </c>
      <c r="B24" s="20">
        <v>1056</v>
      </c>
      <c r="C24" s="9">
        <v>2565</v>
      </c>
      <c r="D24" s="9">
        <v>1010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"/>
    </sheetView>
  </sheetViews>
  <sheetFormatPr defaultColWidth="15.140625" defaultRowHeight="15.75" customHeight="1" x14ac:dyDescent="0.25"/>
  <cols>
    <col min="1" max="2" width="14.28515625" customWidth="1"/>
    <col min="3" max="3" width="9.85546875" customWidth="1"/>
    <col min="4" max="4" width="10.85546875" customWidth="1"/>
    <col min="5" max="5" width="11.140625" customWidth="1"/>
    <col min="6" max="7" width="7.5703125" customWidth="1"/>
  </cols>
  <sheetData>
    <row r="1" spans="1:5" ht="23.25" customHeight="1" x14ac:dyDescent="0.35">
      <c r="A1" s="3" t="s">
        <v>212</v>
      </c>
      <c r="B1" s="3"/>
      <c r="D1" s="4"/>
      <c r="E1" s="4"/>
    </row>
    <row r="2" spans="1:5" ht="15" customHeight="1" x14ac:dyDescent="0.25">
      <c r="A2" s="4"/>
      <c r="B2" s="4"/>
      <c r="D2" s="4"/>
      <c r="E2" s="4"/>
    </row>
    <row r="3" spans="1:5" ht="23.25" customHeight="1" x14ac:dyDescent="0.35">
      <c r="A3" s="4"/>
      <c r="B3" s="5">
        <v>2003</v>
      </c>
      <c r="C3" s="7">
        <v>2005</v>
      </c>
      <c r="D3" s="28">
        <v>2006</v>
      </c>
      <c r="E3" s="7">
        <v>2013</v>
      </c>
    </row>
    <row r="4" spans="1:5" ht="15" customHeight="1" x14ac:dyDescent="0.25">
      <c r="A4" s="8" t="s">
        <v>24</v>
      </c>
      <c r="B4" s="10">
        <f>5/19.25</f>
        <v>0.25974025974025972</v>
      </c>
      <c r="C4" s="10">
        <f>17/17.75</f>
        <v>0.95774647887323938</v>
      </c>
      <c r="D4" s="30"/>
      <c r="E4" s="10">
        <f>2/11.75</f>
        <v>0.1702127659574468</v>
      </c>
    </row>
    <row r="5" spans="1:5" ht="15" customHeight="1" x14ac:dyDescent="0.25">
      <c r="A5" s="8" t="s">
        <v>38</v>
      </c>
      <c r="B5" s="10"/>
      <c r="C5" s="10">
        <f>0.5/17.75</f>
        <v>2.8169014084507043E-2</v>
      </c>
      <c r="D5" s="30"/>
      <c r="E5" s="10"/>
    </row>
    <row r="6" spans="1:5" ht="15" customHeight="1" x14ac:dyDescent="0.25">
      <c r="A6" s="8" t="s">
        <v>155</v>
      </c>
      <c r="B6" s="10"/>
      <c r="C6" s="10">
        <f>0.25/17.75</f>
        <v>1.4084507042253521E-2</v>
      </c>
      <c r="D6" s="30"/>
      <c r="E6" s="10"/>
    </row>
    <row r="7" spans="1:5" ht="15" customHeight="1" x14ac:dyDescent="0.25">
      <c r="A7" s="8" t="s">
        <v>215</v>
      </c>
      <c r="B7" s="10"/>
      <c r="C7" s="10"/>
      <c r="D7" s="30">
        <f>2.75/8.75</f>
        <v>0.31428571428571428</v>
      </c>
      <c r="E7" s="10"/>
    </row>
    <row r="8" spans="1:5" ht="15" customHeight="1" x14ac:dyDescent="0.25">
      <c r="A8" s="8" t="s">
        <v>216</v>
      </c>
      <c r="B8" s="10"/>
      <c r="C8" s="10"/>
      <c r="D8" s="30">
        <f>3/8.75</f>
        <v>0.34285714285714286</v>
      </c>
      <c r="E8" s="10"/>
    </row>
    <row r="9" spans="1:5" ht="15" customHeight="1" x14ac:dyDescent="0.25">
      <c r="A9" s="8" t="s">
        <v>134</v>
      </c>
      <c r="B9" s="10"/>
      <c r="C9" s="10"/>
      <c r="D9" s="30">
        <f>1/8.75</f>
        <v>0.11428571428571428</v>
      </c>
      <c r="E9" s="10"/>
    </row>
    <row r="10" spans="1:5" ht="15" customHeight="1" x14ac:dyDescent="0.25">
      <c r="A10" s="8" t="s">
        <v>17</v>
      </c>
      <c r="B10" s="10"/>
      <c r="C10" s="10"/>
      <c r="D10" s="30">
        <f>2/8.75</f>
        <v>0.22857142857142856</v>
      </c>
      <c r="E10" s="10"/>
    </row>
    <row r="11" spans="1:5" ht="15" customHeight="1" x14ac:dyDescent="0.25">
      <c r="A11" s="8" t="s">
        <v>19</v>
      </c>
      <c r="B11" s="10"/>
      <c r="C11" s="10"/>
      <c r="D11" s="30"/>
      <c r="E11" s="10">
        <f>8/11.75</f>
        <v>0.68085106382978722</v>
      </c>
    </row>
    <row r="12" spans="1:5" ht="15" customHeight="1" x14ac:dyDescent="0.25">
      <c r="A12" s="8" t="s">
        <v>157</v>
      </c>
      <c r="B12" s="10"/>
      <c r="C12" s="10"/>
      <c r="D12" s="30"/>
      <c r="E12" s="10">
        <f>1/11.75</f>
        <v>8.5106382978723402E-2</v>
      </c>
    </row>
    <row r="13" spans="1:5" ht="15" customHeight="1" x14ac:dyDescent="0.25">
      <c r="A13" s="8" t="s">
        <v>217</v>
      </c>
      <c r="B13" s="10"/>
      <c r="C13" s="10"/>
      <c r="D13" s="30"/>
      <c r="E13" s="10">
        <f>0.5/11.75</f>
        <v>4.2553191489361701E-2</v>
      </c>
    </row>
    <row r="14" spans="1:5" ht="15" customHeight="1" x14ac:dyDescent="0.25">
      <c r="A14" s="8" t="s">
        <v>120</v>
      </c>
      <c r="B14" s="10"/>
      <c r="C14" s="10"/>
      <c r="D14" s="30"/>
      <c r="E14" s="10">
        <f>0.25/11.75</f>
        <v>2.1276595744680851E-2</v>
      </c>
    </row>
    <row r="15" spans="1:5" ht="15" customHeight="1" x14ac:dyDescent="0.25">
      <c r="A15" s="16" t="s">
        <v>16</v>
      </c>
      <c r="B15" s="10">
        <f>13/19.25</f>
        <v>0.67532467532467533</v>
      </c>
      <c r="C15" s="10"/>
      <c r="D15" s="30"/>
      <c r="E15" s="10"/>
    </row>
    <row r="16" spans="1:5" ht="15" customHeight="1" x14ac:dyDescent="0.25">
      <c r="A16" s="16" t="s">
        <v>164</v>
      </c>
      <c r="B16" s="10">
        <f t="shared" ref="B16:B17" si="0">0.5/19.25</f>
        <v>2.5974025974025976E-2</v>
      </c>
      <c r="C16" s="10"/>
      <c r="D16" s="30"/>
      <c r="E16" s="10"/>
    </row>
    <row r="17" spans="1:5" ht="15" customHeight="1" x14ac:dyDescent="0.25">
      <c r="A17" s="16" t="s">
        <v>219</v>
      </c>
      <c r="B17" s="10">
        <f t="shared" si="0"/>
        <v>2.5974025974025976E-2</v>
      </c>
      <c r="C17" s="10"/>
      <c r="D17" s="30"/>
      <c r="E17" s="10"/>
    </row>
    <row r="18" spans="1:5" ht="15" customHeight="1" x14ac:dyDescent="0.25">
      <c r="A18" s="16" t="s">
        <v>220</v>
      </c>
      <c r="B18" s="10">
        <f>0.25/19.25</f>
        <v>1.2987012987012988E-2</v>
      </c>
      <c r="C18" s="10"/>
      <c r="D18" s="30"/>
      <c r="E18" s="10"/>
    </row>
    <row r="19" spans="1:5" ht="15" customHeight="1" x14ac:dyDescent="0.25">
      <c r="A19" s="35"/>
      <c r="B19" s="13"/>
      <c r="C19" s="13"/>
      <c r="D19" s="13"/>
      <c r="E19" s="13"/>
    </row>
    <row r="20" spans="1:5" ht="15" customHeight="1" x14ac:dyDescent="0.25">
      <c r="A20" s="4"/>
      <c r="D20" s="4"/>
      <c r="E20" s="4"/>
    </row>
    <row r="21" spans="1:5" ht="15" customHeight="1" x14ac:dyDescent="0.25">
      <c r="A21" s="17" t="s">
        <v>28</v>
      </c>
      <c r="B21" s="9"/>
      <c r="C21" s="9"/>
      <c r="D21" s="31"/>
      <c r="E21" s="9"/>
    </row>
    <row r="22" spans="1:5" ht="15" customHeight="1" x14ac:dyDescent="0.25">
      <c r="A22" s="48" t="s">
        <v>96</v>
      </c>
      <c r="B22" s="22" t="s">
        <v>206</v>
      </c>
      <c r="C22" s="19" t="s">
        <v>86</v>
      </c>
      <c r="D22" s="31"/>
      <c r="E22" s="9"/>
    </row>
    <row r="23" spans="1:5" ht="15" customHeight="1" x14ac:dyDescent="0.25">
      <c r="A23" s="17" t="s">
        <v>113</v>
      </c>
      <c r="B23" s="83"/>
      <c r="C23" s="83" t="s">
        <v>86</v>
      </c>
      <c r="D23" s="31"/>
      <c r="E23" s="9"/>
    </row>
    <row r="24" spans="1:5" ht="15" customHeight="1" x14ac:dyDescent="0.25">
      <c r="A24" s="81" t="s">
        <v>31</v>
      </c>
      <c r="B24" s="93" t="s">
        <v>223</v>
      </c>
      <c r="C24" s="89"/>
      <c r="D24" s="92" t="s">
        <v>98</v>
      </c>
      <c r="E24" s="9" t="s">
        <v>98</v>
      </c>
    </row>
    <row r="25" spans="1:5" ht="15" customHeight="1" x14ac:dyDescent="0.25">
      <c r="A25" s="81" t="s">
        <v>39</v>
      </c>
      <c r="B25" s="94"/>
      <c r="C25" s="94"/>
      <c r="D25" s="82"/>
      <c r="E25" s="19"/>
    </row>
    <row r="26" spans="1:5" ht="15" customHeight="1" x14ac:dyDescent="0.25">
      <c r="A26" s="18" t="s">
        <v>40</v>
      </c>
      <c r="B26" s="88" t="s">
        <v>86</v>
      </c>
      <c r="C26" s="84"/>
      <c r="D26" s="32"/>
      <c r="E26" s="19"/>
    </row>
    <row r="27" spans="1:5" ht="30" customHeight="1" x14ac:dyDescent="0.25">
      <c r="A27" s="18" t="s">
        <v>41</v>
      </c>
      <c r="B27" s="9"/>
      <c r="C27" s="9"/>
      <c r="D27" s="32"/>
      <c r="E27" s="19" t="s">
        <v>49</v>
      </c>
    </row>
    <row r="28" spans="1:5" ht="15" customHeight="1" x14ac:dyDescent="0.25">
      <c r="A28" s="18" t="s">
        <v>43</v>
      </c>
      <c r="B28" s="9"/>
      <c r="C28" s="9"/>
      <c r="D28" s="32"/>
      <c r="E28" s="19"/>
    </row>
    <row r="29" spans="1:5" ht="15" customHeight="1" x14ac:dyDescent="0.25">
      <c r="A29" s="18" t="s">
        <v>44</v>
      </c>
      <c r="B29" s="9"/>
      <c r="C29" s="9"/>
      <c r="D29" s="32" t="s">
        <v>226</v>
      </c>
      <c r="E29" s="19"/>
    </row>
    <row r="30" spans="1:5" ht="15" customHeight="1" x14ac:dyDescent="0.25">
      <c r="A30" s="18" t="s">
        <v>45</v>
      </c>
      <c r="B30" s="22" t="s">
        <v>56</v>
      </c>
      <c r="C30" s="19" t="s">
        <v>86</v>
      </c>
      <c r="D30" s="32"/>
      <c r="E30" s="19"/>
    </row>
    <row r="31" spans="1:5" ht="15" customHeight="1" x14ac:dyDescent="0.25">
      <c r="A31" s="18" t="s">
        <v>52</v>
      </c>
      <c r="B31" s="9"/>
      <c r="C31" s="9"/>
      <c r="D31" s="32"/>
      <c r="E31" s="19"/>
    </row>
    <row r="32" spans="1:5" ht="15" customHeight="1" x14ac:dyDescent="0.25">
      <c r="A32" s="4"/>
      <c r="D32" s="4"/>
      <c r="E32" s="4"/>
    </row>
    <row r="33" spans="1:5" ht="15" customHeight="1" x14ac:dyDescent="0.25">
      <c r="A33" s="17" t="s">
        <v>53</v>
      </c>
      <c r="B33" s="20">
        <v>1.0549999999999999</v>
      </c>
      <c r="C33" s="9">
        <v>1.05</v>
      </c>
      <c r="D33" s="31">
        <v>1.0580000000000001</v>
      </c>
      <c r="E33" s="9">
        <v>1.0529999999999999</v>
      </c>
    </row>
    <row r="34" spans="1:5" ht="15" customHeight="1" x14ac:dyDescent="0.25">
      <c r="A34" s="17" t="s">
        <v>55</v>
      </c>
      <c r="B34" s="20">
        <v>1.018</v>
      </c>
      <c r="C34" s="9">
        <v>1.008</v>
      </c>
      <c r="D34" s="31">
        <v>1.02</v>
      </c>
      <c r="E34" s="9">
        <v>1.012</v>
      </c>
    </row>
    <row r="35" spans="1:5" ht="15" customHeight="1" x14ac:dyDescent="0.25">
      <c r="A35" s="17" t="s">
        <v>57</v>
      </c>
      <c r="B35" s="36">
        <v>147</v>
      </c>
      <c r="C35" s="33">
        <v>150</v>
      </c>
      <c r="D35" s="31">
        <v>150</v>
      </c>
      <c r="E35" s="9">
        <v>152</v>
      </c>
    </row>
    <row r="36" spans="1:5" ht="15" customHeight="1" x14ac:dyDescent="0.25">
      <c r="A36" s="17" t="s">
        <v>58</v>
      </c>
      <c r="B36" s="20">
        <v>1007</v>
      </c>
      <c r="C36" s="9">
        <v>1007</v>
      </c>
      <c r="D36" s="34">
        <v>1007</v>
      </c>
      <c r="E36" s="24" t="s">
        <v>228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3.85546875" customWidth="1"/>
    <col min="2" max="2" width="10.5703125" customWidth="1"/>
    <col min="3" max="3" width="12.7109375" customWidth="1"/>
    <col min="4" max="4" width="11.5703125" customWidth="1"/>
    <col min="5" max="6" width="7.5703125" customWidth="1"/>
  </cols>
  <sheetData>
    <row r="1" spans="1:4" ht="23.25" customHeight="1" x14ac:dyDescent="0.35">
      <c r="A1" s="3" t="s">
        <v>213</v>
      </c>
      <c r="B1" s="4"/>
    </row>
    <row r="2" spans="1:4" ht="15" customHeight="1" x14ac:dyDescent="0.25">
      <c r="A2" s="4"/>
      <c r="B2" s="4"/>
    </row>
    <row r="3" spans="1:4" ht="23.25" customHeight="1" x14ac:dyDescent="0.35">
      <c r="A3" s="4"/>
      <c r="B3" s="7">
        <v>2007</v>
      </c>
      <c r="C3" s="5">
        <v>2015</v>
      </c>
      <c r="D3" s="5">
        <v>2016</v>
      </c>
    </row>
    <row r="4" spans="1:4" ht="15" customHeight="1" x14ac:dyDescent="0.25">
      <c r="A4" s="8" t="s">
        <v>214</v>
      </c>
      <c r="B4" s="10">
        <f>4.125/9.25</f>
        <v>0.44594594594594594</v>
      </c>
      <c r="C4" s="10"/>
      <c r="D4" s="10"/>
    </row>
    <row r="5" spans="1:4" ht="15" customHeight="1" x14ac:dyDescent="0.25">
      <c r="A5" s="8" t="s">
        <v>14</v>
      </c>
      <c r="B5" s="10">
        <f>3/9.25</f>
        <v>0.32432432432432434</v>
      </c>
      <c r="C5" s="21">
        <v>0.76</v>
      </c>
      <c r="D5" s="21">
        <f>8/10.38</f>
        <v>0.77071290944123305</v>
      </c>
    </row>
    <row r="6" spans="1:4" ht="15" customHeight="1" x14ac:dyDescent="0.25">
      <c r="A6" s="8" t="s">
        <v>24</v>
      </c>
      <c r="B6" s="10">
        <f>1.5/9.25</f>
        <v>0.16216216216216217</v>
      </c>
      <c r="C6" s="21">
        <v>9.7000000000000003E-2</v>
      </c>
      <c r="D6" s="21"/>
    </row>
    <row r="7" spans="1:4" ht="15" customHeight="1" x14ac:dyDescent="0.25">
      <c r="A7" s="8" t="s">
        <v>164</v>
      </c>
      <c r="B7" s="10">
        <f>0.5/9.25</f>
        <v>5.4054054054054057E-2</v>
      </c>
      <c r="C7" s="21">
        <v>3.5999999999999997E-2</v>
      </c>
      <c r="D7" s="21">
        <f>0.38/10.38</f>
        <v>3.6608863198458574E-2</v>
      </c>
    </row>
    <row r="8" spans="1:4" ht="15" customHeight="1" x14ac:dyDescent="0.25">
      <c r="A8" s="8" t="s">
        <v>155</v>
      </c>
      <c r="B8" s="10">
        <f>0.125/9.25</f>
        <v>1.3513513513513514E-2</v>
      </c>
      <c r="C8" s="20">
        <v>0.9</v>
      </c>
      <c r="D8" s="20"/>
    </row>
    <row r="9" spans="1:4" ht="15" customHeight="1" x14ac:dyDescent="0.25">
      <c r="A9" s="16" t="s">
        <v>123</v>
      </c>
      <c r="B9" s="10"/>
      <c r="C9" s="21">
        <v>2.3E-2</v>
      </c>
      <c r="D9" s="21"/>
    </row>
    <row r="10" spans="1:4" ht="15" customHeight="1" x14ac:dyDescent="0.25">
      <c r="A10" s="16" t="s">
        <v>128</v>
      </c>
      <c r="B10" s="10"/>
      <c r="C10" s="21">
        <v>7.3999999999999996E-2</v>
      </c>
      <c r="D10" s="21">
        <f>0.75/10.38</f>
        <v>7.2254335260115599E-2</v>
      </c>
    </row>
    <row r="11" spans="1:4" ht="15" customHeight="1" x14ac:dyDescent="0.25">
      <c r="A11" s="16" t="s">
        <v>134</v>
      </c>
      <c r="B11" s="10"/>
      <c r="C11" s="21"/>
      <c r="D11" s="21">
        <v>7.1999999999999995E-2</v>
      </c>
    </row>
    <row r="12" spans="1:4" ht="15" customHeight="1" x14ac:dyDescent="0.25">
      <c r="A12" s="16" t="s">
        <v>17</v>
      </c>
      <c r="B12" s="10"/>
      <c r="C12" s="21"/>
      <c r="D12" s="21">
        <f>0.5/10.38</f>
        <v>4.8169556840077066E-2</v>
      </c>
    </row>
    <row r="13" spans="1:4" ht="15" customHeight="1" x14ac:dyDescent="0.25">
      <c r="A13" s="4"/>
      <c r="B13" s="4"/>
      <c r="C13" s="4"/>
      <c r="D13" s="4"/>
    </row>
    <row r="14" spans="1:4" ht="29.25" customHeight="1" x14ac:dyDescent="0.25">
      <c r="A14" s="17" t="s">
        <v>28</v>
      </c>
      <c r="B14" s="9"/>
      <c r="C14" s="9"/>
      <c r="D14" s="46" t="s">
        <v>170</v>
      </c>
    </row>
    <row r="15" spans="1:4" ht="30" customHeight="1" x14ac:dyDescent="0.25">
      <c r="A15" s="18" t="s">
        <v>31</v>
      </c>
      <c r="B15" s="19" t="s">
        <v>170</v>
      </c>
      <c r="C15" s="19" t="s">
        <v>170</v>
      </c>
      <c r="D15" s="19"/>
    </row>
    <row r="16" spans="1:4" ht="15" customHeight="1" x14ac:dyDescent="0.25">
      <c r="A16" s="18" t="s">
        <v>39</v>
      </c>
      <c r="B16" s="19"/>
      <c r="C16" s="19"/>
      <c r="D16" s="19"/>
    </row>
    <row r="17" spans="1:4" ht="15" customHeight="1" x14ac:dyDescent="0.25">
      <c r="A17" s="18" t="s">
        <v>40</v>
      </c>
      <c r="B17" s="19"/>
      <c r="C17" s="19"/>
      <c r="D17" s="19"/>
    </row>
    <row r="18" spans="1:4" ht="30" customHeight="1" x14ac:dyDescent="0.25">
      <c r="A18" s="38" t="s">
        <v>85</v>
      </c>
      <c r="B18" s="19"/>
      <c r="C18" s="19"/>
      <c r="D18" s="46" t="s">
        <v>170</v>
      </c>
    </row>
    <row r="19" spans="1:4" ht="30" customHeight="1" x14ac:dyDescent="0.25">
      <c r="A19" s="18" t="s">
        <v>41</v>
      </c>
      <c r="B19" s="19" t="s">
        <v>170</v>
      </c>
      <c r="C19" s="19" t="s">
        <v>170</v>
      </c>
      <c r="D19" s="19"/>
    </row>
    <row r="20" spans="1:4" ht="15" customHeight="1" x14ac:dyDescent="0.25">
      <c r="A20" s="18" t="s">
        <v>43</v>
      </c>
      <c r="B20" s="19"/>
      <c r="C20" s="19"/>
      <c r="D20" s="19"/>
    </row>
    <row r="21" spans="1:4" ht="15" customHeight="1" x14ac:dyDescent="0.25">
      <c r="A21" s="18" t="s">
        <v>44</v>
      </c>
      <c r="B21" s="19"/>
      <c r="C21" s="19"/>
      <c r="D21" s="19"/>
    </row>
    <row r="22" spans="1:4" ht="30" customHeight="1" x14ac:dyDescent="0.25">
      <c r="A22" s="18" t="s">
        <v>45</v>
      </c>
      <c r="B22" s="19" t="s">
        <v>170</v>
      </c>
      <c r="C22" s="19" t="s">
        <v>170</v>
      </c>
      <c r="D22" s="46" t="s">
        <v>170</v>
      </c>
    </row>
    <row r="23" spans="1:4" ht="27" customHeight="1" x14ac:dyDescent="0.25">
      <c r="A23" s="18" t="s">
        <v>52</v>
      </c>
      <c r="B23" s="9"/>
      <c r="C23" s="19" t="s">
        <v>170</v>
      </c>
      <c r="D23" s="46" t="s">
        <v>170</v>
      </c>
    </row>
    <row r="24" spans="1:4" ht="15" customHeight="1" x14ac:dyDescent="0.25">
      <c r="A24" s="4"/>
      <c r="B24" s="4"/>
      <c r="C24" s="4"/>
      <c r="D24" s="4"/>
    </row>
    <row r="25" spans="1:4" ht="15" customHeight="1" x14ac:dyDescent="0.25">
      <c r="A25" s="17" t="s">
        <v>53</v>
      </c>
      <c r="B25" s="9">
        <v>1.054</v>
      </c>
      <c r="C25" s="20">
        <v>1.054</v>
      </c>
      <c r="D25" s="20">
        <v>1.052</v>
      </c>
    </row>
    <row r="26" spans="1:4" ht="15" customHeight="1" x14ac:dyDescent="0.25">
      <c r="A26" s="17" t="s">
        <v>55</v>
      </c>
      <c r="B26" s="9">
        <v>1.0109999999999999</v>
      </c>
      <c r="C26" s="20">
        <v>1.012</v>
      </c>
      <c r="D26" s="20">
        <v>1.01</v>
      </c>
    </row>
    <row r="27" spans="1:4" ht="15" customHeight="1" x14ac:dyDescent="0.25">
      <c r="A27" s="17" t="s">
        <v>57</v>
      </c>
      <c r="B27" s="9">
        <v>153</v>
      </c>
      <c r="C27" s="20">
        <v>148</v>
      </c>
      <c r="D27" s="20">
        <v>152</v>
      </c>
    </row>
    <row r="28" spans="1:4" ht="15" customHeight="1" x14ac:dyDescent="0.25">
      <c r="A28" s="17" t="s">
        <v>58</v>
      </c>
      <c r="B28" s="25" t="s">
        <v>218</v>
      </c>
      <c r="C28" s="20">
        <v>810</v>
      </c>
      <c r="D28" s="20">
        <v>810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5.140625" customWidth="1"/>
    <col min="2" max="2" width="13.140625" customWidth="1"/>
    <col min="3" max="3" width="12.140625" customWidth="1"/>
    <col min="4" max="4" width="11.7109375" customWidth="1"/>
    <col min="5" max="5" width="10.85546875" customWidth="1"/>
    <col min="6" max="6" width="11.5703125" customWidth="1"/>
    <col min="7" max="7" width="12.140625" customWidth="1"/>
  </cols>
  <sheetData>
    <row r="1" spans="1:7" ht="23.25" customHeight="1" x14ac:dyDescent="0.35">
      <c r="A1" s="3" t="s">
        <v>222</v>
      </c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23.25" customHeight="1" x14ac:dyDescent="0.35">
      <c r="A3" s="4"/>
      <c r="B3" s="7">
        <v>2007</v>
      </c>
      <c r="C3" s="28">
        <v>2008</v>
      </c>
      <c r="D3" s="7">
        <v>2009</v>
      </c>
      <c r="E3" s="7">
        <v>2011</v>
      </c>
      <c r="F3" s="7">
        <v>2012</v>
      </c>
      <c r="G3" s="7">
        <v>2014</v>
      </c>
    </row>
    <row r="4" spans="1:7" ht="15" customHeight="1" x14ac:dyDescent="0.25">
      <c r="A4" s="8" t="s">
        <v>19</v>
      </c>
      <c r="B4" s="10">
        <f>5.63/9.28</f>
        <v>0.60668103448275867</v>
      </c>
      <c r="C4" s="30">
        <f>9/15.15</f>
        <v>0.59405940594059403</v>
      </c>
      <c r="D4" s="10">
        <f>9.25/13</f>
        <v>0.71153846153846156</v>
      </c>
      <c r="E4" s="10">
        <f>6.75/10.75</f>
        <v>0.62790697674418605</v>
      </c>
      <c r="F4" s="10">
        <f>25/36.5</f>
        <v>0.68493150684931503</v>
      </c>
      <c r="G4" s="10">
        <f>8/11.75</f>
        <v>0.68085106382978722</v>
      </c>
    </row>
    <row r="5" spans="1:7" ht="15" customHeight="1" x14ac:dyDescent="0.25">
      <c r="A5" s="8" t="s">
        <v>82</v>
      </c>
      <c r="B5" s="10">
        <f t="shared" ref="B5:B6" si="0">1.5/9.28</f>
        <v>0.16163793103448276</v>
      </c>
      <c r="C5" s="30"/>
      <c r="D5" s="10"/>
      <c r="E5" s="10">
        <f>1/10.75</f>
        <v>9.3023255813953487E-2</v>
      </c>
      <c r="F5" s="10"/>
      <c r="G5" s="10"/>
    </row>
    <row r="6" spans="1:7" ht="15" customHeight="1" x14ac:dyDescent="0.25">
      <c r="A6" s="8" t="s">
        <v>24</v>
      </c>
      <c r="B6" s="10">
        <f t="shared" si="0"/>
        <v>0.16163793103448276</v>
      </c>
      <c r="C6" s="30">
        <f>4.5/15.15</f>
        <v>0.29702970297029702</v>
      </c>
      <c r="D6" s="10">
        <f>2/13</f>
        <v>0.15384615384615385</v>
      </c>
      <c r="E6" s="10">
        <f>1.75/10.75</f>
        <v>0.16279069767441862</v>
      </c>
      <c r="F6" s="10">
        <f>6/36.5</f>
        <v>0.16438356164383561</v>
      </c>
      <c r="G6" s="10">
        <f>2/11.75</f>
        <v>0.1702127659574468</v>
      </c>
    </row>
    <row r="7" spans="1:7" ht="15" customHeight="1" x14ac:dyDescent="0.25">
      <c r="A7" s="8" t="s">
        <v>123</v>
      </c>
      <c r="B7" s="10">
        <f>0.56/9.28</f>
        <v>6.0344827586206906E-2</v>
      </c>
      <c r="C7" s="30">
        <f>0.75/15.15</f>
        <v>4.95049504950495E-2</v>
      </c>
      <c r="D7" s="10"/>
      <c r="E7" s="10"/>
      <c r="F7" s="10">
        <f>1/36.5</f>
        <v>2.7397260273972601E-2</v>
      </c>
      <c r="G7" s="10">
        <f>0.5/11.75</f>
        <v>4.2553191489361701E-2</v>
      </c>
    </row>
    <row r="8" spans="1:7" ht="15" customHeight="1" x14ac:dyDescent="0.25">
      <c r="A8" s="8" t="s">
        <v>120</v>
      </c>
      <c r="B8" s="10">
        <f>0.09/9.28</f>
        <v>9.6982758620689658E-3</v>
      </c>
      <c r="C8" s="30"/>
      <c r="D8" s="10">
        <f>0.25/13</f>
        <v>1.9230769230769232E-2</v>
      </c>
      <c r="E8" s="10"/>
      <c r="F8" s="10">
        <f>0.5/36.5</f>
        <v>1.3698630136986301E-2</v>
      </c>
      <c r="G8" s="10">
        <f>0.25/11.75</f>
        <v>2.1276595744680851E-2</v>
      </c>
    </row>
    <row r="9" spans="1:7" ht="15" customHeight="1" x14ac:dyDescent="0.25">
      <c r="A9" s="8" t="s">
        <v>186</v>
      </c>
      <c r="B9" s="10"/>
      <c r="C9" s="30">
        <f>0.5/15.15</f>
        <v>3.3003300330033E-2</v>
      </c>
      <c r="D9" s="10"/>
      <c r="E9" s="4"/>
      <c r="F9" s="10"/>
      <c r="G9" s="10"/>
    </row>
    <row r="10" spans="1:7" ht="15" customHeight="1" x14ac:dyDescent="0.25">
      <c r="A10" s="8" t="s">
        <v>178</v>
      </c>
      <c r="B10" s="10"/>
      <c r="C10" s="30">
        <f>0.25/15.15</f>
        <v>1.65016501650165E-2</v>
      </c>
      <c r="D10" s="10"/>
      <c r="E10" s="10"/>
      <c r="F10" s="10"/>
      <c r="G10" s="10"/>
    </row>
    <row r="11" spans="1:7" ht="15" customHeight="1" x14ac:dyDescent="0.25">
      <c r="A11" s="8" t="s">
        <v>239</v>
      </c>
      <c r="B11" s="10"/>
      <c r="C11" s="30">
        <f>0.15/15.15</f>
        <v>9.9009900990099011E-3</v>
      </c>
      <c r="D11" s="10"/>
      <c r="E11" s="10"/>
      <c r="F11" s="10"/>
      <c r="G11" s="10"/>
    </row>
    <row r="12" spans="1:7" ht="15" customHeight="1" x14ac:dyDescent="0.25">
      <c r="A12" s="8" t="s">
        <v>157</v>
      </c>
      <c r="B12" s="10"/>
      <c r="C12" s="30"/>
      <c r="D12" s="10">
        <f>1.5/13</f>
        <v>0.11538461538461539</v>
      </c>
      <c r="E12" s="10"/>
      <c r="F12" s="10">
        <f>3/36.5</f>
        <v>8.2191780821917804E-2</v>
      </c>
      <c r="G12" s="10">
        <f>1/11.75</f>
        <v>8.5106382978723402E-2</v>
      </c>
    </row>
    <row r="13" spans="1:7" ht="15" customHeight="1" x14ac:dyDescent="0.25">
      <c r="A13" s="8" t="s">
        <v>17</v>
      </c>
      <c r="B13" s="10"/>
      <c r="C13" s="30"/>
      <c r="D13" s="10"/>
      <c r="E13" s="10">
        <f t="shared" ref="E13:E14" si="1">0.5/10.75</f>
        <v>4.6511627906976744E-2</v>
      </c>
      <c r="F13" s="10"/>
      <c r="G13" s="10"/>
    </row>
    <row r="14" spans="1:7" ht="15" customHeight="1" x14ac:dyDescent="0.25">
      <c r="A14" s="8" t="s">
        <v>72</v>
      </c>
      <c r="B14" s="10"/>
      <c r="C14" s="30"/>
      <c r="D14" s="10"/>
      <c r="E14" s="10">
        <f t="shared" si="1"/>
        <v>4.6511627906976744E-2</v>
      </c>
      <c r="F14" s="10"/>
      <c r="G14" s="10"/>
    </row>
    <row r="15" spans="1:7" ht="15" customHeight="1" x14ac:dyDescent="0.25">
      <c r="A15" s="8" t="s">
        <v>155</v>
      </c>
      <c r="B15" s="10"/>
      <c r="C15" s="30"/>
      <c r="D15" s="10"/>
      <c r="E15" s="10">
        <f>0.25/10.75</f>
        <v>2.3255813953488372E-2</v>
      </c>
      <c r="F15" s="10"/>
      <c r="G15" s="10"/>
    </row>
    <row r="16" spans="1:7" ht="15" customHeight="1" x14ac:dyDescent="0.25">
      <c r="A16" s="8" t="s">
        <v>126</v>
      </c>
      <c r="B16" s="10"/>
      <c r="C16" s="30"/>
      <c r="D16" s="10"/>
      <c r="E16" s="10"/>
      <c r="F16" s="10">
        <f>1/36.5</f>
        <v>2.7397260273972601E-2</v>
      </c>
      <c r="G16" s="10"/>
    </row>
    <row r="17" spans="1:7" ht="15" customHeight="1" x14ac:dyDescent="0.25">
      <c r="A17" s="4"/>
      <c r="B17" s="4"/>
      <c r="C17" s="4"/>
      <c r="D17" s="4"/>
      <c r="E17" s="4"/>
      <c r="F17" s="4"/>
      <c r="G17" s="4"/>
    </row>
    <row r="18" spans="1:7" ht="15" customHeight="1" x14ac:dyDescent="0.25">
      <c r="A18" s="4"/>
      <c r="B18" s="4"/>
      <c r="C18" s="4"/>
      <c r="D18" s="4"/>
      <c r="E18" s="4"/>
      <c r="F18" s="4"/>
      <c r="G18" s="4"/>
    </row>
    <row r="19" spans="1:7" ht="15" customHeight="1" x14ac:dyDescent="0.25">
      <c r="A19" s="17" t="s">
        <v>28</v>
      </c>
      <c r="B19" s="19"/>
      <c r="C19" s="31"/>
      <c r="D19" s="9"/>
      <c r="E19" s="9" t="s">
        <v>49</v>
      </c>
      <c r="F19" s="9"/>
      <c r="G19" s="9"/>
    </row>
    <row r="20" spans="1:7" ht="15" customHeight="1" x14ac:dyDescent="0.25">
      <c r="A20" s="17" t="s">
        <v>96</v>
      </c>
      <c r="B20" s="19"/>
      <c r="C20" s="31"/>
      <c r="D20" s="9"/>
      <c r="E20" s="9"/>
      <c r="F20" s="9"/>
      <c r="G20" s="9"/>
    </row>
    <row r="21" spans="1:7" ht="30" customHeight="1" x14ac:dyDescent="0.25">
      <c r="A21" s="18" t="s">
        <v>31</v>
      </c>
      <c r="B21" s="19"/>
      <c r="C21" s="32" t="s">
        <v>254</v>
      </c>
      <c r="D21" s="19" t="s">
        <v>255</v>
      </c>
      <c r="E21" s="9" t="s">
        <v>256</v>
      </c>
      <c r="F21" s="9" t="s">
        <v>49</v>
      </c>
      <c r="G21" s="9" t="s">
        <v>257</v>
      </c>
    </row>
    <row r="22" spans="1:7" ht="30" customHeight="1" x14ac:dyDescent="0.25">
      <c r="A22" s="18" t="s">
        <v>39</v>
      </c>
      <c r="B22" s="19" t="s">
        <v>258</v>
      </c>
      <c r="C22" s="32"/>
      <c r="D22" s="19"/>
      <c r="E22" s="19"/>
      <c r="F22" s="19"/>
      <c r="G22" s="19"/>
    </row>
    <row r="23" spans="1:7" ht="15" customHeight="1" x14ac:dyDescent="0.25">
      <c r="A23" s="18" t="s">
        <v>40</v>
      </c>
      <c r="B23" s="19" t="s">
        <v>49</v>
      </c>
      <c r="C23" s="31"/>
      <c r="D23" s="19"/>
      <c r="E23" s="19" t="s">
        <v>49</v>
      </c>
      <c r="F23" s="19" t="s">
        <v>49</v>
      </c>
      <c r="G23" s="19"/>
    </row>
    <row r="24" spans="1:7" ht="15" customHeight="1" x14ac:dyDescent="0.25">
      <c r="A24" s="18" t="s">
        <v>41</v>
      </c>
      <c r="B24" s="19"/>
      <c r="C24" s="31"/>
      <c r="D24" s="19"/>
      <c r="E24" s="19" t="s">
        <v>49</v>
      </c>
      <c r="F24" s="19" t="s">
        <v>42</v>
      </c>
      <c r="G24" s="19" t="s">
        <v>36</v>
      </c>
    </row>
    <row r="25" spans="1:7" ht="30" customHeight="1" x14ac:dyDescent="0.25">
      <c r="A25" s="18" t="s">
        <v>43</v>
      </c>
      <c r="B25" s="19"/>
      <c r="C25" s="32" t="s">
        <v>36</v>
      </c>
      <c r="D25" s="19"/>
      <c r="E25" s="19"/>
      <c r="F25" s="19" t="s">
        <v>260</v>
      </c>
      <c r="G25" s="19"/>
    </row>
    <row r="26" spans="1:7" ht="15" customHeight="1" x14ac:dyDescent="0.25">
      <c r="A26" s="18" t="s">
        <v>44</v>
      </c>
      <c r="B26" s="19"/>
      <c r="C26" s="32"/>
      <c r="D26" s="19"/>
      <c r="E26" s="19"/>
      <c r="F26" s="19"/>
      <c r="G26" s="19"/>
    </row>
    <row r="27" spans="1:7" ht="15" customHeight="1" x14ac:dyDescent="0.25">
      <c r="A27" s="18" t="s">
        <v>45</v>
      </c>
      <c r="B27" s="19"/>
      <c r="C27" s="32" t="s">
        <v>42</v>
      </c>
      <c r="D27" s="19"/>
      <c r="E27" s="19" t="s">
        <v>51</v>
      </c>
      <c r="F27" s="19"/>
      <c r="G27" s="19"/>
    </row>
    <row r="28" spans="1:7" ht="15" customHeight="1" x14ac:dyDescent="0.25">
      <c r="A28" s="18" t="s">
        <v>52</v>
      </c>
      <c r="B28" s="9"/>
      <c r="C28" s="32"/>
      <c r="D28" s="19"/>
      <c r="E28" s="19"/>
      <c r="F28" s="19"/>
      <c r="G28" s="19"/>
    </row>
    <row r="29" spans="1:7" ht="15" customHeight="1" x14ac:dyDescent="0.25">
      <c r="A29" s="4"/>
      <c r="B29" s="4"/>
      <c r="C29" s="4"/>
      <c r="D29" s="4"/>
      <c r="E29" s="4"/>
      <c r="F29" s="4"/>
      <c r="G29" s="4"/>
    </row>
    <row r="30" spans="1:7" ht="15" customHeight="1" x14ac:dyDescent="0.25">
      <c r="A30" s="17" t="s">
        <v>53</v>
      </c>
      <c r="B30" s="9">
        <v>1.0529999999999999</v>
      </c>
      <c r="C30" s="31">
        <v>1.054</v>
      </c>
      <c r="D30" s="9">
        <v>1.06</v>
      </c>
      <c r="E30" s="9">
        <v>1.0509999999999999</v>
      </c>
      <c r="F30" s="9">
        <v>1.0509999999999999</v>
      </c>
      <c r="G30" s="9">
        <v>1.052</v>
      </c>
    </row>
    <row r="31" spans="1:7" ht="15" customHeight="1" x14ac:dyDescent="0.25">
      <c r="A31" s="17" t="s">
        <v>55</v>
      </c>
      <c r="B31" s="9" t="s">
        <v>106</v>
      </c>
      <c r="C31" s="31">
        <v>1.0129999999999999</v>
      </c>
      <c r="D31" s="9">
        <v>1.016</v>
      </c>
      <c r="E31" s="9">
        <v>1.01</v>
      </c>
      <c r="F31" s="9">
        <v>1.01</v>
      </c>
      <c r="G31" s="9">
        <v>1.0109999999999999</v>
      </c>
    </row>
    <row r="32" spans="1:7" ht="15" customHeight="1" x14ac:dyDescent="0.25">
      <c r="A32" s="17" t="s">
        <v>57</v>
      </c>
      <c r="B32" s="33">
        <v>148</v>
      </c>
      <c r="C32" s="34" t="s">
        <v>262</v>
      </c>
      <c r="D32" s="9">
        <v>150</v>
      </c>
      <c r="E32" s="9">
        <v>147</v>
      </c>
      <c r="F32" s="33">
        <v>151</v>
      </c>
      <c r="G32" s="33">
        <v>150</v>
      </c>
    </row>
    <row r="33" spans="1:7" ht="15" customHeight="1" x14ac:dyDescent="0.25">
      <c r="A33" s="17" t="s">
        <v>58</v>
      </c>
      <c r="B33" s="9">
        <v>1007</v>
      </c>
      <c r="C33" s="34">
        <v>1056</v>
      </c>
      <c r="D33" s="24">
        <v>1056</v>
      </c>
      <c r="E33" s="24" t="s">
        <v>231</v>
      </c>
      <c r="F33" s="24" t="s">
        <v>263</v>
      </c>
      <c r="G33" s="24">
        <v>1007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6.42578125" customWidth="1"/>
    <col min="2" max="2" width="10.42578125" customWidth="1"/>
    <col min="3" max="3" width="11.42578125" customWidth="1"/>
    <col min="4" max="4" width="13.140625" customWidth="1"/>
    <col min="5" max="5" width="10.42578125" customWidth="1"/>
    <col min="6" max="6" width="15.28515625" customWidth="1"/>
  </cols>
  <sheetData>
    <row r="1" spans="1:6" ht="23.25" customHeight="1" x14ac:dyDescent="0.35">
      <c r="A1" s="3" t="s">
        <v>232</v>
      </c>
      <c r="B1" s="4"/>
      <c r="D1" s="4"/>
    </row>
    <row r="2" spans="1:6" ht="15" customHeight="1" x14ac:dyDescent="0.25">
      <c r="A2" s="4"/>
      <c r="B2" s="4"/>
      <c r="D2" s="4"/>
    </row>
    <row r="3" spans="1:6" ht="23.25" customHeight="1" x14ac:dyDescent="0.35">
      <c r="A3" s="4"/>
      <c r="B3" s="7">
        <v>2004</v>
      </c>
      <c r="C3" s="28">
        <v>2008</v>
      </c>
      <c r="D3" s="7">
        <v>2012</v>
      </c>
      <c r="E3" s="7">
        <v>2013</v>
      </c>
      <c r="F3" s="5">
        <v>2015</v>
      </c>
    </row>
    <row r="4" spans="1:6" ht="15" customHeight="1" x14ac:dyDescent="0.25">
      <c r="A4" s="8" t="s">
        <v>233</v>
      </c>
      <c r="B4" s="10">
        <f>5/8</f>
        <v>0.625</v>
      </c>
      <c r="C4" s="30"/>
      <c r="D4" s="10"/>
      <c r="E4" s="10"/>
      <c r="F4" s="21">
        <v>0.91900000000000004</v>
      </c>
    </row>
    <row r="5" spans="1:6" ht="15" customHeight="1" x14ac:dyDescent="0.25">
      <c r="A5" s="8" t="s">
        <v>112</v>
      </c>
      <c r="B5" s="10">
        <f>3/8</f>
        <v>0.375</v>
      </c>
      <c r="C5" s="30">
        <f>0.25/8.75</f>
        <v>2.8571428571428571E-2</v>
      </c>
      <c r="D5" s="10"/>
      <c r="E5" s="10"/>
      <c r="F5" s="10"/>
    </row>
    <row r="6" spans="1:6" ht="15" customHeight="1" x14ac:dyDescent="0.25">
      <c r="A6" s="8" t="s">
        <v>137</v>
      </c>
      <c r="B6" s="10"/>
      <c r="C6" s="30">
        <f>0.5/8.75</f>
        <v>5.7142857142857141E-2</v>
      </c>
      <c r="D6" s="10"/>
      <c r="E6" s="10"/>
      <c r="F6" s="10"/>
    </row>
    <row r="7" spans="1:6" ht="15" customHeight="1" x14ac:dyDescent="0.25">
      <c r="A7" s="8" t="s">
        <v>235</v>
      </c>
      <c r="B7" s="10"/>
      <c r="C7" s="30">
        <f>8/8.75</f>
        <v>0.91428571428571426</v>
      </c>
      <c r="D7" s="10"/>
      <c r="E7" s="10"/>
      <c r="F7" s="10"/>
    </row>
    <row r="8" spans="1:6" ht="15" customHeight="1" x14ac:dyDescent="0.25">
      <c r="A8" s="8" t="s">
        <v>214</v>
      </c>
      <c r="B8" s="10"/>
      <c r="C8" s="30"/>
      <c r="D8" s="10">
        <f>6.75/7</f>
        <v>0.9642857142857143</v>
      </c>
      <c r="E8" s="10">
        <f>6.75/8.06</f>
        <v>0.83746898263027292</v>
      </c>
      <c r="F8" s="10"/>
    </row>
    <row r="9" spans="1:6" ht="15" customHeight="1" x14ac:dyDescent="0.25">
      <c r="A9" s="8" t="s">
        <v>236</v>
      </c>
      <c r="B9" s="10"/>
      <c r="C9" s="30"/>
      <c r="D9" s="10">
        <f>0.25/7</f>
        <v>3.5714285714285712E-2</v>
      </c>
      <c r="E9" s="10"/>
      <c r="F9" s="10"/>
    </row>
    <row r="10" spans="1:6" ht="15" customHeight="1" x14ac:dyDescent="0.25">
      <c r="A10" s="8" t="s">
        <v>237</v>
      </c>
      <c r="B10" s="10"/>
      <c r="C10" s="30"/>
      <c r="D10" s="10"/>
      <c r="E10" s="10">
        <f>0.56/8.06</f>
        <v>6.9478908188585611E-2</v>
      </c>
      <c r="F10" s="10"/>
    </row>
    <row r="11" spans="1:6" ht="15" customHeight="1" x14ac:dyDescent="0.25">
      <c r="A11" s="8" t="s">
        <v>238</v>
      </c>
      <c r="B11" s="10"/>
      <c r="C11" s="30"/>
      <c r="D11" s="10"/>
      <c r="E11" s="10">
        <f>0.44/8.06</f>
        <v>5.4590570719602972E-2</v>
      </c>
      <c r="F11" s="10"/>
    </row>
    <row r="12" spans="1:6" ht="15" customHeight="1" x14ac:dyDescent="0.25">
      <c r="A12" s="8" t="s">
        <v>72</v>
      </c>
      <c r="B12" s="10"/>
      <c r="C12" s="30"/>
      <c r="D12" s="10"/>
      <c r="E12" s="10">
        <f>0.31/8.06</f>
        <v>3.8461538461538457E-2</v>
      </c>
      <c r="F12" s="10"/>
    </row>
    <row r="13" spans="1:6" ht="15" customHeight="1" x14ac:dyDescent="0.25">
      <c r="A13" s="16" t="s">
        <v>165</v>
      </c>
      <c r="B13" s="10"/>
      <c r="C13" s="30"/>
      <c r="D13" s="10"/>
      <c r="E13" s="10"/>
      <c r="F13" s="21">
        <v>2.1999999999999999E-2</v>
      </c>
    </row>
    <row r="14" spans="1:6" ht="15" customHeight="1" x14ac:dyDescent="0.25">
      <c r="A14" s="16" t="s">
        <v>240</v>
      </c>
      <c r="B14" s="10"/>
      <c r="C14" s="30"/>
      <c r="D14" s="10"/>
      <c r="E14" s="10"/>
      <c r="F14" s="21">
        <v>5.8999999999999997E-2</v>
      </c>
    </row>
    <row r="15" spans="1:6" ht="15" customHeight="1" x14ac:dyDescent="0.25">
      <c r="A15" s="4"/>
      <c r="B15" s="4"/>
      <c r="D15" s="4"/>
    </row>
    <row r="16" spans="1:6" ht="15" customHeight="1" x14ac:dyDescent="0.25">
      <c r="A16" s="17" t="s">
        <v>28</v>
      </c>
      <c r="B16" s="9"/>
      <c r="C16" s="31"/>
      <c r="D16" s="9"/>
      <c r="E16" s="9" t="s">
        <v>241</v>
      </c>
      <c r="F16" s="9"/>
    </row>
    <row r="17" spans="1:6" ht="15" customHeight="1" x14ac:dyDescent="0.25">
      <c r="A17" s="17" t="s">
        <v>113</v>
      </c>
      <c r="B17" s="19"/>
      <c r="C17" s="31"/>
      <c r="D17" s="9"/>
      <c r="E17" s="9"/>
      <c r="F17" s="9"/>
    </row>
    <row r="18" spans="1:6" ht="30.75" customHeight="1" x14ac:dyDescent="0.25">
      <c r="A18" s="18" t="s">
        <v>31</v>
      </c>
      <c r="B18" s="4" t="s">
        <v>242</v>
      </c>
      <c r="C18" s="31" t="s">
        <v>243</v>
      </c>
      <c r="D18" s="9" t="s">
        <v>244</v>
      </c>
      <c r="E18" s="9" t="s">
        <v>241</v>
      </c>
      <c r="F18" s="46" t="s">
        <v>245</v>
      </c>
    </row>
    <row r="19" spans="1:6" ht="30" customHeight="1" x14ac:dyDescent="0.25">
      <c r="A19" s="18" t="s">
        <v>39</v>
      </c>
      <c r="B19" s="19" t="s">
        <v>195</v>
      </c>
      <c r="C19" s="32" t="s">
        <v>195</v>
      </c>
      <c r="D19" s="19"/>
      <c r="E19" s="19"/>
      <c r="F19" s="19"/>
    </row>
    <row r="20" spans="1:6" ht="15" customHeight="1" x14ac:dyDescent="0.25">
      <c r="A20" s="18" t="s">
        <v>40</v>
      </c>
      <c r="B20" s="9"/>
      <c r="C20" s="32"/>
      <c r="D20" s="19"/>
      <c r="E20" s="19"/>
      <c r="F20" s="19"/>
    </row>
    <row r="21" spans="1:6" ht="30" customHeight="1" x14ac:dyDescent="0.25">
      <c r="A21" s="38" t="s">
        <v>85</v>
      </c>
      <c r="B21" s="9"/>
      <c r="C21" s="32"/>
      <c r="D21" s="19"/>
      <c r="E21" s="19"/>
      <c r="F21" s="22" t="s">
        <v>133</v>
      </c>
    </row>
    <row r="22" spans="1:6" ht="30" customHeight="1" x14ac:dyDescent="0.25">
      <c r="A22" s="18" t="s">
        <v>41</v>
      </c>
      <c r="B22" s="9" t="s">
        <v>241</v>
      </c>
      <c r="C22" s="32" t="s">
        <v>195</v>
      </c>
      <c r="D22" s="19" t="s">
        <v>247</v>
      </c>
      <c r="E22" s="19" t="s">
        <v>243</v>
      </c>
      <c r="F22" s="19"/>
    </row>
    <row r="23" spans="1:6" ht="15" customHeight="1" x14ac:dyDescent="0.25">
      <c r="A23" s="18" t="s">
        <v>43</v>
      </c>
      <c r="B23" s="9"/>
      <c r="C23" s="32"/>
      <c r="D23" s="19"/>
      <c r="E23" s="19" t="s">
        <v>241</v>
      </c>
      <c r="F23" s="19"/>
    </row>
    <row r="24" spans="1:6" ht="30" customHeight="1" x14ac:dyDescent="0.25">
      <c r="A24" s="18" t="s">
        <v>44</v>
      </c>
      <c r="B24" s="9"/>
      <c r="C24" s="32" t="s">
        <v>195</v>
      </c>
      <c r="D24" s="19"/>
      <c r="E24" s="19"/>
      <c r="F24" s="83"/>
    </row>
    <row r="25" spans="1:6" ht="30" customHeight="1" x14ac:dyDescent="0.25">
      <c r="A25" s="18" t="s">
        <v>45</v>
      </c>
      <c r="B25" s="19"/>
      <c r="C25" s="32"/>
      <c r="D25" s="19"/>
      <c r="E25" s="32" t="s">
        <v>249</v>
      </c>
      <c r="F25" s="91" t="s">
        <v>195</v>
      </c>
    </row>
    <row r="26" spans="1:6" ht="30" customHeight="1" x14ac:dyDescent="0.25">
      <c r="A26" s="18" t="s">
        <v>52</v>
      </c>
      <c r="B26" s="19" t="s">
        <v>195</v>
      </c>
      <c r="C26" s="32"/>
      <c r="D26" s="19" t="s">
        <v>195</v>
      </c>
      <c r="E26" s="19"/>
      <c r="F26" s="90"/>
    </row>
    <row r="27" spans="1:6" ht="15" customHeight="1" x14ac:dyDescent="0.25">
      <c r="A27" s="4"/>
      <c r="B27" s="4"/>
      <c r="D27" s="4"/>
    </row>
    <row r="28" spans="1:6" ht="15" customHeight="1" x14ac:dyDescent="0.25">
      <c r="A28" s="17" t="s">
        <v>53</v>
      </c>
      <c r="B28" s="9">
        <v>1.04</v>
      </c>
      <c r="C28" s="31">
        <v>1.046</v>
      </c>
      <c r="D28" s="9">
        <v>1.04</v>
      </c>
      <c r="E28" s="9">
        <v>1.0369999999999999</v>
      </c>
      <c r="F28" s="20">
        <v>1.0429999999999999</v>
      </c>
    </row>
    <row r="29" spans="1:6" ht="15" customHeight="1" x14ac:dyDescent="0.25">
      <c r="A29" s="17" t="s">
        <v>55</v>
      </c>
      <c r="B29" s="24" t="s">
        <v>106</v>
      </c>
      <c r="C29" s="31">
        <v>1.006</v>
      </c>
      <c r="D29" s="9">
        <v>1.01</v>
      </c>
      <c r="E29" s="9">
        <v>1.012</v>
      </c>
      <c r="F29" s="20">
        <v>1.014</v>
      </c>
    </row>
    <row r="30" spans="1:6" ht="15" customHeight="1" x14ac:dyDescent="0.25">
      <c r="A30" s="17" t="s">
        <v>57</v>
      </c>
      <c r="B30" s="33">
        <v>153</v>
      </c>
      <c r="C30" s="31">
        <v>151</v>
      </c>
      <c r="D30" s="9">
        <v>149</v>
      </c>
      <c r="E30" s="9">
        <v>152</v>
      </c>
      <c r="F30" s="20">
        <v>152</v>
      </c>
    </row>
    <row r="31" spans="1:6" ht="15" customHeight="1" x14ac:dyDescent="0.25">
      <c r="A31" s="17" t="s">
        <v>58</v>
      </c>
      <c r="B31" s="24" t="s">
        <v>251</v>
      </c>
      <c r="C31" s="34">
        <v>1318</v>
      </c>
      <c r="D31" s="24">
        <v>1275</v>
      </c>
      <c r="E31" s="24">
        <v>1469</v>
      </c>
      <c r="F31" s="25" t="s">
        <v>252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3.7109375" customWidth="1"/>
    <col min="2" max="2" width="16.28515625" customWidth="1"/>
    <col min="3" max="3" width="11.5703125" customWidth="1"/>
    <col min="4" max="4" width="10.7109375" customWidth="1"/>
    <col min="5" max="6" width="11.140625" customWidth="1"/>
    <col min="7" max="7" width="9.28515625" customWidth="1"/>
  </cols>
  <sheetData>
    <row r="1" spans="1:7" ht="23.25" customHeight="1" x14ac:dyDescent="0.35">
      <c r="A1" s="3" t="s">
        <v>234</v>
      </c>
      <c r="B1" s="3"/>
      <c r="C1" s="4"/>
      <c r="G1">
        <f>5.5+2.75+1+1+0.25</f>
        <v>10.5</v>
      </c>
    </row>
    <row r="2" spans="1:7" ht="15" customHeight="1" x14ac:dyDescent="0.25">
      <c r="A2" s="4"/>
      <c r="B2" s="4"/>
      <c r="C2" s="4"/>
    </row>
    <row r="3" spans="1:7" ht="23.25" customHeight="1" x14ac:dyDescent="0.35">
      <c r="A3" s="4"/>
      <c r="B3" s="5">
        <v>2000</v>
      </c>
      <c r="C3" s="7">
        <v>2005</v>
      </c>
      <c r="D3" s="28">
        <v>2006</v>
      </c>
      <c r="E3" s="7">
        <v>2011</v>
      </c>
      <c r="F3" s="7">
        <v>2014</v>
      </c>
      <c r="G3" s="5">
        <v>2016</v>
      </c>
    </row>
    <row r="4" spans="1:7" ht="15" customHeight="1" x14ac:dyDescent="0.25">
      <c r="A4" s="8" t="s">
        <v>214</v>
      </c>
      <c r="B4" s="10"/>
      <c r="C4" s="10">
        <f>9.5/11</f>
        <v>0.86363636363636365</v>
      </c>
      <c r="D4" s="30"/>
      <c r="E4" s="10"/>
      <c r="F4" s="10"/>
      <c r="G4" s="10"/>
    </row>
    <row r="5" spans="1:7" ht="15" customHeight="1" x14ac:dyDescent="0.25">
      <c r="A5" s="8" t="s">
        <v>128</v>
      </c>
      <c r="B5" s="10"/>
      <c r="C5" s="10">
        <f>0.4/11</f>
        <v>3.6363636363636369E-2</v>
      </c>
      <c r="D5" s="30"/>
      <c r="E5" s="10"/>
      <c r="F5" s="10"/>
      <c r="G5" s="10"/>
    </row>
    <row r="6" spans="1:7" ht="15" customHeight="1" x14ac:dyDescent="0.25">
      <c r="A6" s="8" t="s">
        <v>134</v>
      </c>
      <c r="B6" s="10"/>
      <c r="C6" s="10">
        <f>1.1/11</f>
        <v>0.1</v>
      </c>
      <c r="D6" s="30"/>
      <c r="E6" s="10"/>
      <c r="F6" s="10">
        <f>1/12</f>
        <v>8.3333333333333329E-2</v>
      </c>
      <c r="G6" s="10"/>
    </row>
    <row r="7" spans="1:7" ht="15" customHeight="1" x14ac:dyDescent="0.25">
      <c r="A7" s="8" t="s">
        <v>14</v>
      </c>
      <c r="B7" s="10"/>
      <c r="C7" s="10"/>
      <c r="D7" s="30">
        <f>7.5/9.25</f>
        <v>0.81081081081081086</v>
      </c>
      <c r="E7" s="10"/>
      <c r="F7" s="10"/>
      <c r="G7" s="10"/>
    </row>
    <row r="8" spans="1:7" ht="15" customHeight="1" x14ac:dyDescent="0.25">
      <c r="A8" s="8" t="s">
        <v>246</v>
      </c>
      <c r="B8" s="10"/>
      <c r="C8" s="10"/>
      <c r="D8" s="30">
        <f>1/9.25</f>
        <v>0.10810810810810811</v>
      </c>
      <c r="E8" s="10"/>
      <c r="F8" s="10"/>
      <c r="G8" s="10"/>
    </row>
    <row r="9" spans="1:7" ht="15" customHeight="1" x14ac:dyDescent="0.25">
      <c r="A9" s="8" t="s">
        <v>248</v>
      </c>
      <c r="B9" s="10"/>
      <c r="C9" s="10"/>
      <c r="D9" s="30">
        <f>0.5/9.25</f>
        <v>5.4054054054054057E-2</v>
      </c>
      <c r="E9" s="10"/>
      <c r="F9" s="10"/>
      <c r="G9" s="10"/>
    </row>
    <row r="10" spans="1:7" ht="15" customHeight="1" x14ac:dyDescent="0.25">
      <c r="A10" s="8" t="s">
        <v>250</v>
      </c>
      <c r="B10" s="10"/>
      <c r="C10" s="10"/>
      <c r="D10" s="30">
        <f>0.25/9.25</f>
        <v>2.7027027027027029E-2</v>
      </c>
      <c r="E10" s="10"/>
      <c r="F10" s="10"/>
      <c r="G10" s="10"/>
    </row>
    <row r="11" spans="1:7" ht="15" customHeight="1" x14ac:dyDescent="0.25">
      <c r="A11" s="8" t="s">
        <v>112</v>
      </c>
      <c r="B11" s="10">
        <f>13/43.25</f>
        <v>0.30057803468208094</v>
      </c>
      <c r="C11" s="10"/>
      <c r="D11" s="30"/>
      <c r="E11" s="10">
        <f>10/12</f>
        <v>0.83333333333333337</v>
      </c>
      <c r="F11" s="10"/>
      <c r="G11" s="10">
        <f>5.5/10.5</f>
        <v>0.52380952380952384</v>
      </c>
    </row>
    <row r="12" spans="1:7" ht="15" customHeight="1" x14ac:dyDescent="0.25">
      <c r="A12" s="8" t="s">
        <v>253</v>
      </c>
      <c r="B12" s="10"/>
      <c r="C12" s="10"/>
      <c r="D12" s="30"/>
      <c r="E12" s="10">
        <f>1/12</f>
        <v>8.3333333333333329E-2</v>
      </c>
      <c r="F12" s="10"/>
      <c r="G12" s="10"/>
    </row>
    <row r="13" spans="1:7" ht="15" customHeight="1" x14ac:dyDescent="0.25">
      <c r="A13" s="8" t="s">
        <v>259</v>
      </c>
      <c r="B13" s="10"/>
      <c r="C13" s="10"/>
      <c r="D13" s="30"/>
      <c r="E13" s="10">
        <f>0.5/12</f>
        <v>4.1666666666666664E-2</v>
      </c>
      <c r="F13" s="10"/>
      <c r="G13" s="10"/>
    </row>
    <row r="14" spans="1:7" ht="15" customHeight="1" x14ac:dyDescent="0.25">
      <c r="A14" s="8" t="s">
        <v>164</v>
      </c>
      <c r="B14" s="10"/>
      <c r="C14" s="10"/>
      <c r="D14" s="30"/>
      <c r="E14" s="10">
        <f t="shared" ref="E14:E15" si="0">0.25/12</f>
        <v>2.0833333333333332E-2</v>
      </c>
      <c r="F14" s="10"/>
      <c r="G14" s="10"/>
    </row>
    <row r="15" spans="1:7" ht="15" customHeight="1" x14ac:dyDescent="0.25">
      <c r="A15" s="8" t="s">
        <v>236</v>
      </c>
      <c r="B15" s="10"/>
      <c r="C15" s="10"/>
      <c r="D15" s="30"/>
      <c r="E15" s="10">
        <f t="shared" si="0"/>
        <v>2.0833333333333332E-2</v>
      </c>
      <c r="F15" s="10"/>
      <c r="G15" s="10"/>
    </row>
    <row r="16" spans="1:7" ht="15" customHeight="1" x14ac:dyDescent="0.25">
      <c r="A16" s="8" t="s">
        <v>261</v>
      </c>
      <c r="B16" s="10"/>
      <c r="C16" s="10"/>
      <c r="D16" s="30"/>
      <c r="E16" s="10"/>
      <c r="F16" s="10">
        <f>8/12</f>
        <v>0.66666666666666663</v>
      </c>
      <c r="G16" s="10"/>
    </row>
    <row r="17" spans="1:7" ht="15" customHeight="1" x14ac:dyDescent="0.25">
      <c r="A17" s="8" t="s">
        <v>82</v>
      </c>
      <c r="B17" s="10"/>
      <c r="C17" s="10"/>
      <c r="D17" s="30"/>
      <c r="E17" s="10"/>
      <c r="F17" s="10">
        <f t="shared" ref="F17:F18" si="1">1/12</f>
        <v>8.3333333333333329E-2</v>
      </c>
      <c r="G17" s="10"/>
    </row>
    <row r="18" spans="1:7" ht="15" customHeight="1" x14ac:dyDescent="0.25">
      <c r="A18" s="8" t="s">
        <v>186</v>
      </c>
      <c r="B18" s="10"/>
      <c r="C18" s="10"/>
      <c r="D18" s="30"/>
      <c r="E18" s="10"/>
      <c r="F18" s="10">
        <f t="shared" si="1"/>
        <v>8.3333333333333329E-2</v>
      </c>
      <c r="G18" s="10"/>
    </row>
    <row r="19" spans="1:7" ht="15" customHeight="1" x14ac:dyDescent="0.25">
      <c r="A19" s="8" t="s">
        <v>119</v>
      </c>
      <c r="B19" s="10"/>
      <c r="C19" s="10"/>
      <c r="D19" s="30"/>
      <c r="E19" s="10"/>
      <c r="F19" s="10">
        <f t="shared" ref="F19:F20" si="2">0.5/12</f>
        <v>4.1666666666666664E-2</v>
      </c>
      <c r="G19" s="10"/>
    </row>
    <row r="20" spans="1:7" ht="15" customHeight="1" x14ac:dyDescent="0.25">
      <c r="A20" s="8" t="s">
        <v>38</v>
      </c>
      <c r="B20" s="10">
        <f>1/43.25</f>
        <v>2.3121387283236993E-2</v>
      </c>
      <c r="C20" s="10"/>
      <c r="D20" s="30"/>
      <c r="E20" s="10"/>
      <c r="F20" s="10">
        <f t="shared" si="2"/>
        <v>4.1666666666666664E-2</v>
      </c>
      <c r="G20" s="10">
        <f>0.5/10.5</f>
        <v>4.7619047619047616E-2</v>
      </c>
    </row>
    <row r="21" spans="1:7" ht="15" customHeight="1" x14ac:dyDescent="0.25">
      <c r="A21" s="16" t="s">
        <v>157</v>
      </c>
      <c r="B21" s="10">
        <f t="shared" ref="B21:B22" si="3">13/43.25</f>
        <v>0.30057803468208094</v>
      </c>
      <c r="C21" s="10"/>
      <c r="D21" s="30"/>
      <c r="E21" s="10"/>
      <c r="F21" s="10"/>
      <c r="G21" s="10"/>
    </row>
    <row r="22" spans="1:7" ht="15" customHeight="1" x14ac:dyDescent="0.25">
      <c r="A22" s="16" t="s">
        <v>122</v>
      </c>
      <c r="B22" s="10">
        <f t="shared" si="3"/>
        <v>0.30057803468208094</v>
      </c>
      <c r="C22" s="10"/>
      <c r="D22" s="30"/>
      <c r="E22" s="10"/>
      <c r="F22" s="10"/>
      <c r="G22" s="10"/>
    </row>
    <row r="23" spans="1:7" ht="15" customHeight="1" x14ac:dyDescent="0.25">
      <c r="A23" s="16" t="s">
        <v>123</v>
      </c>
      <c r="B23" s="10">
        <f t="shared" ref="B23:B25" si="4">1/43.25</f>
        <v>2.3121387283236993E-2</v>
      </c>
      <c r="C23" s="10"/>
      <c r="D23" s="30"/>
      <c r="E23" s="10"/>
      <c r="F23" s="10"/>
      <c r="G23" s="10"/>
    </row>
    <row r="24" spans="1:7" ht="15" customHeight="1" x14ac:dyDescent="0.25">
      <c r="A24" s="16" t="s">
        <v>72</v>
      </c>
      <c r="B24" s="10">
        <f t="shared" si="4"/>
        <v>2.3121387283236993E-2</v>
      </c>
      <c r="C24" s="10"/>
      <c r="D24" s="30"/>
      <c r="E24" s="10"/>
      <c r="F24" s="10"/>
      <c r="G24" s="10">
        <f t="shared" ref="G24:G25" si="5">0.25/10.5</f>
        <v>2.3809523809523808E-2</v>
      </c>
    </row>
    <row r="25" spans="1:7" ht="15" customHeight="1" x14ac:dyDescent="0.25">
      <c r="A25" s="16" t="s">
        <v>17</v>
      </c>
      <c r="B25" s="10">
        <f t="shared" si="4"/>
        <v>2.3121387283236993E-2</v>
      </c>
      <c r="C25" s="10"/>
      <c r="D25" s="30"/>
      <c r="E25" s="10"/>
      <c r="F25" s="10"/>
      <c r="G25" s="10">
        <f t="shared" si="5"/>
        <v>2.3809523809523808E-2</v>
      </c>
    </row>
    <row r="26" spans="1:7" ht="15" customHeight="1" x14ac:dyDescent="0.25">
      <c r="A26" s="16" t="s">
        <v>155</v>
      </c>
      <c r="B26" s="10">
        <f>0.25/43.25</f>
        <v>5.7803468208092483E-3</v>
      </c>
      <c r="C26" s="10"/>
      <c r="D26" s="30"/>
      <c r="E26" s="10"/>
      <c r="F26" s="10"/>
      <c r="G26" s="10"/>
    </row>
    <row r="27" spans="1:7" ht="15" customHeight="1" x14ac:dyDescent="0.25">
      <c r="A27" s="16" t="s">
        <v>25</v>
      </c>
      <c r="B27" s="10"/>
      <c r="C27" s="10"/>
      <c r="D27" s="30"/>
      <c r="E27" s="10"/>
      <c r="F27" s="10"/>
      <c r="G27" s="10">
        <f>1/10.5</f>
        <v>9.5238095238095233E-2</v>
      </c>
    </row>
    <row r="28" spans="1:7" ht="15" customHeight="1" x14ac:dyDescent="0.25">
      <c r="A28" s="16" t="s">
        <v>24</v>
      </c>
      <c r="B28" s="10"/>
      <c r="C28" s="10"/>
      <c r="D28" s="30"/>
      <c r="E28" s="10"/>
      <c r="F28" s="10"/>
      <c r="G28" s="10">
        <f>2.75/10.5</f>
        <v>0.26190476190476192</v>
      </c>
    </row>
    <row r="29" spans="1:7" ht="15" customHeight="1" x14ac:dyDescent="0.25">
      <c r="A29" s="16" t="s">
        <v>104</v>
      </c>
      <c r="B29" s="10"/>
      <c r="C29" s="10"/>
      <c r="D29" s="30"/>
      <c r="E29" s="10"/>
      <c r="F29" s="10"/>
      <c r="G29" s="10">
        <f>0.25/10.5</f>
        <v>2.3809523809523808E-2</v>
      </c>
    </row>
    <row r="30" spans="1:7" ht="15" customHeight="1" x14ac:dyDescent="0.25">
      <c r="A30" s="35"/>
      <c r="B30" s="13"/>
      <c r="C30" s="13"/>
      <c r="D30" s="13"/>
      <c r="E30" s="13"/>
      <c r="F30" s="13"/>
      <c r="G30" s="13"/>
    </row>
    <row r="31" spans="1:7" ht="15" customHeight="1" x14ac:dyDescent="0.25">
      <c r="A31" s="4"/>
      <c r="B31" s="4"/>
      <c r="C31" s="4"/>
    </row>
    <row r="32" spans="1:7" ht="15" customHeight="1" x14ac:dyDescent="0.25">
      <c r="A32" s="17" t="s">
        <v>28</v>
      </c>
      <c r="B32" s="9"/>
      <c r="C32" s="9"/>
      <c r="D32" s="31"/>
      <c r="E32" s="9"/>
      <c r="F32" s="9"/>
      <c r="G32" s="20" t="s">
        <v>267</v>
      </c>
    </row>
    <row r="33" spans="1:7" ht="15" customHeight="1" x14ac:dyDescent="0.25">
      <c r="A33" s="17" t="s">
        <v>113</v>
      </c>
      <c r="B33" s="83"/>
      <c r="C33" s="19"/>
      <c r="D33" s="31"/>
      <c r="E33" s="9"/>
      <c r="F33" s="9"/>
      <c r="G33" s="9"/>
    </row>
    <row r="34" spans="1:7" ht="45" customHeight="1" x14ac:dyDescent="0.25">
      <c r="A34" s="81" t="s">
        <v>31</v>
      </c>
      <c r="B34" s="85" t="s">
        <v>268</v>
      </c>
      <c r="C34" s="23" t="s">
        <v>270</v>
      </c>
      <c r="D34" s="32" t="s">
        <v>272</v>
      </c>
      <c r="E34" s="9" t="s">
        <v>244</v>
      </c>
      <c r="F34" s="9" t="s">
        <v>273</v>
      </c>
      <c r="G34" s="9"/>
    </row>
    <row r="35" spans="1:7" ht="30" customHeight="1" x14ac:dyDescent="0.25">
      <c r="A35" s="18" t="s">
        <v>39</v>
      </c>
      <c r="B35" s="84"/>
      <c r="C35" s="9"/>
      <c r="D35" s="32" t="s">
        <v>272</v>
      </c>
      <c r="E35" s="19"/>
      <c r="F35" s="19"/>
      <c r="G35" s="19"/>
    </row>
    <row r="36" spans="1:7" ht="15" customHeight="1" x14ac:dyDescent="0.25">
      <c r="A36" s="18" t="s">
        <v>40</v>
      </c>
      <c r="B36" s="9"/>
      <c r="C36" s="9"/>
      <c r="D36" s="32"/>
      <c r="E36" s="19"/>
      <c r="F36" s="19"/>
      <c r="G36" s="19"/>
    </row>
    <row r="37" spans="1:7" ht="30" customHeight="1" x14ac:dyDescent="0.25">
      <c r="A37" s="18" t="s">
        <v>41</v>
      </c>
      <c r="B37" s="20" t="s">
        <v>196</v>
      </c>
      <c r="C37" s="9"/>
      <c r="D37" s="32" t="s">
        <v>272</v>
      </c>
      <c r="E37" s="19"/>
      <c r="F37" s="19" t="s">
        <v>195</v>
      </c>
      <c r="G37" s="19"/>
    </row>
    <row r="38" spans="1:7" ht="15" customHeight="1" x14ac:dyDescent="0.25">
      <c r="A38" s="18" t="s">
        <v>43</v>
      </c>
      <c r="B38" s="9"/>
      <c r="C38" s="9"/>
      <c r="D38" s="32"/>
      <c r="E38" s="19"/>
      <c r="F38" s="19"/>
      <c r="G38" s="19"/>
    </row>
    <row r="39" spans="1:7" ht="30" customHeight="1" x14ac:dyDescent="0.25">
      <c r="A39" s="18" t="s">
        <v>44</v>
      </c>
      <c r="B39" s="9"/>
      <c r="C39" s="9"/>
      <c r="D39" s="32" t="s">
        <v>272</v>
      </c>
      <c r="E39" s="19"/>
      <c r="F39" s="19"/>
      <c r="G39" s="20" t="s">
        <v>267</v>
      </c>
    </row>
    <row r="40" spans="1:7" ht="30" customHeight="1" x14ac:dyDescent="0.25">
      <c r="A40" s="18" t="s">
        <v>45</v>
      </c>
      <c r="B40" s="22" t="s">
        <v>133</v>
      </c>
      <c r="C40" s="19"/>
      <c r="D40" s="32"/>
      <c r="E40" s="19" t="s">
        <v>195</v>
      </c>
      <c r="F40" s="19"/>
      <c r="G40" s="20" t="s">
        <v>267</v>
      </c>
    </row>
    <row r="41" spans="1:7" ht="30" customHeight="1" x14ac:dyDescent="0.25">
      <c r="A41" s="18" t="s">
        <v>52</v>
      </c>
      <c r="B41" s="20" t="s">
        <v>133</v>
      </c>
      <c r="C41" s="9"/>
      <c r="D41" s="32"/>
      <c r="E41" s="19" t="s">
        <v>195</v>
      </c>
      <c r="F41" s="19"/>
      <c r="G41" s="20" t="s">
        <v>267</v>
      </c>
    </row>
    <row r="42" spans="1:7" ht="15" customHeight="1" x14ac:dyDescent="0.25">
      <c r="A42" s="4"/>
      <c r="C42" s="4"/>
    </row>
    <row r="43" spans="1:7" ht="15" customHeight="1" x14ac:dyDescent="0.25">
      <c r="A43" s="86" t="s">
        <v>53</v>
      </c>
      <c r="B43" s="89">
        <v>1.0549999999999999</v>
      </c>
      <c r="C43" s="87">
        <v>1.052</v>
      </c>
      <c r="D43" s="31">
        <v>1.04</v>
      </c>
      <c r="E43" s="9">
        <v>1.0549999999999999</v>
      </c>
      <c r="F43" s="9">
        <v>1.0529999999999999</v>
      </c>
      <c r="G43" s="20">
        <v>1.048</v>
      </c>
    </row>
    <row r="44" spans="1:7" ht="15" customHeight="1" x14ac:dyDescent="0.25">
      <c r="A44" s="17" t="s">
        <v>55</v>
      </c>
      <c r="B44" s="88">
        <v>1.018</v>
      </c>
      <c r="C44" s="9">
        <v>1.0109999999999999</v>
      </c>
      <c r="D44" s="31">
        <v>1.01</v>
      </c>
      <c r="E44" s="9">
        <v>1.014</v>
      </c>
      <c r="F44" s="9">
        <v>1.01</v>
      </c>
      <c r="G44" s="20">
        <v>1.0109999999999999</v>
      </c>
    </row>
    <row r="45" spans="1:7" ht="15" customHeight="1" x14ac:dyDescent="0.25">
      <c r="A45" s="17" t="s">
        <v>57</v>
      </c>
      <c r="B45" s="20">
        <v>154</v>
      </c>
      <c r="C45" s="33">
        <v>152</v>
      </c>
      <c r="D45" s="31">
        <v>150</v>
      </c>
      <c r="E45" s="24" t="s">
        <v>274</v>
      </c>
      <c r="F45" s="24">
        <v>152</v>
      </c>
      <c r="G45" s="25">
        <v>152</v>
      </c>
    </row>
    <row r="46" spans="1:7" ht="15" customHeight="1" x14ac:dyDescent="0.25">
      <c r="A46" s="17" t="s">
        <v>58</v>
      </c>
      <c r="B46" s="25" t="s">
        <v>106</v>
      </c>
      <c r="C46" s="9">
        <v>1028</v>
      </c>
      <c r="D46" s="34">
        <v>1099</v>
      </c>
      <c r="E46" s="24" t="s">
        <v>252</v>
      </c>
      <c r="F46" s="24">
        <v>1028</v>
      </c>
      <c r="G46" s="25">
        <v>1469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A2" sqref="A2"/>
    </sheetView>
  </sheetViews>
  <sheetFormatPr defaultColWidth="15.140625" defaultRowHeight="15.75" customHeight="1" x14ac:dyDescent="0.25"/>
  <cols>
    <col min="1" max="2" width="14" customWidth="1"/>
    <col min="3" max="3" width="12" customWidth="1"/>
    <col min="4" max="4" width="12.140625" customWidth="1"/>
    <col min="5" max="5" width="11.5703125" customWidth="1"/>
    <col min="6" max="6" width="10.85546875" customWidth="1"/>
    <col min="7" max="7" width="11.140625" customWidth="1"/>
    <col min="8" max="9" width="7.5703125" customWidth="1"/>
  </cols>
  <sheetData>
    <row r="1" spans="1:7" ht="23.25" customHeight="1" x14ac:dyDescent="0.35">
      <c r="A1" s="3" t="s">
        <v>264</v>
      </c>
      <c r="B1" s="3"/>
      <c r="C1" s="3"/>
      <c r="D1" s="3"/>
      <c r="E1" s="4"/>
      <c r="G1" s="4"/>
    </row>
    <row r="2" spans="1:7" ht="15" customHeight="1" x14ac:dyDescent="0.25">
      <c r="A2" s="4"/>
      <c r="B2" s="4"/>
      <c r="C2" s="4"/>
      <c r="D2" s="4"/>
      <c r="E2" s="4"/>
      <c r="G2" s="4"/>
    </row>
    <row r="3" spans="1:7" ht="23.25" customHeight="1" x14ac:dyDescent="0.35">
      <c r="A3" s="4"/>
      <c r="B3" s="5">
        <v>2001</v>
      </c>
      <c r="C3" s="5">
        <v>2002</v>
      </c>
      <c r="D3" s="5">
        <v>2003</v>
      </c>
      <c r="E3" s="7">
        <v>2007</v>
      </c>
      <c r="F3" s="28">
        <v>2009</v>
      </c>
      <c r="G3" s="7">
        <v>2010</v>
      </c>
    </row>
    <row r="4" spans="1:7" ht="15" customHeight="1" x14ac:dyDescent="0.25">
      <c r="A4" s="8" t="s">
        <v>214</v>
      </c>
      <c r="B4" s="10"/>
      <c r="C4" s="10"/>
      <c r="D4" s="10"/>
      <c r="E4" s="10">
        <f>8/13.125</f>
        <v>0.60952380952380958</v>
      </c>
      <c r="F4" s="30">
        <f>12/14.5</f>
        <v>0.82758620689655171</v>
      </c>
      <c r="G4" s="10">
        <f>0.5/11.5</f>
        <v>4.3478260869565216E-2</v>
      </c>
    </row>
    <row r="5" spans="1:7" ht="15" customHeight="1" x14ac:dyDescent="0.25">
      <c r="A5" s="8" t="s">
        <v>112</v>
      </c>
      <c r="B5" s="10">
        <f>37/44.5</f>
        <v>0.8314606741573034</v>
      </c>
      <c r="C5" s="10">
        <f>13/19</f>
        <v>0.68421052631578949</v>
      </c>
      <c r="D5" s="10"/>
      <c r="E5" s="10">
        <f t="shared" ref="E5:E8" si="0">1/13.125</f>
        <v>7.6190476190476197E-2</v>
      </c>
      <c r="F5" s="30"/>
      <c r="G5" s="10"/>
    </row>
    <row r="6" spans="1:7" ht="15" customHeight="1" x14ac:dyDescent="0.25">
      <c r="A6" s="8" t="s">
        <v>38</v>
      </c>
      <c r="B6" s="10"/>
      <c r="C6" s="10">
        <f>1/19</f>
        <v>5.2631578947368418E-2</v>
      </c>
      <c r="D6" s="10"/>
      <c r="E6" s="10">
        <f t="shared" si="0"/>
        <v>7.6190476190476197E-2</v>
      </c>
      <c r="F6" s="30"/>
      <c r="G6" s="10"/>
    </row>
    <row r="7" spans="1:7" ht="15" customHeight="1" x14ac:dyDescent="0.25">
      <c r="A7" s="8" t="s">
        <v>72</v>
      </c>
      <c r="B7" s="10"/>
      <c r="C7" s="10"/>
      <c r="D7" s="10"/>
      <c r="E7" s="10">
        <f t="shared" si="0"/>
        <v>7.6190476190476197E-2</v>
      </c>
      <c r="F7" s="30"/>
      <c r="G7" s="10"/>
    </row>
    <row r="8" spans="1:7" ht="15" customHeight="1" x14ac:dyDescent="0.25">
      <c r="A8" s="8" t="s">
        <v>157</v>
      </c>
      <c r="B8" s="10"/>
      <c r="C8" s="10"/>
      <c r="D8" s="10"/>
      <c r="E8" s="10">
        <f t="shared" si="0"/>
        <v>7.6190476190476197E-2</v>
      </c>
      <c r="F8" s="30"/>
      <c r="G8" s="10"/>
    </row>
    <row r="9" spans="1:7" ht="15" customHeight="1" x14ac:dyDescent="0.25">
      <c r="A9" s="8" t="s">
        <v>122</v>
      </c>
      <c r="B9" s="10"/>
      <c r="C9" s="10"/>
      <c r="D9" s="10"/>
      <c r="E9" s="10">
        <f>0.5/13.125</f>
        <v>3.8095238095238099E-2</v>
      </c>
      <c r="F9" s="30"/>
      <c r="G9" s="10"/>
    </row>
    <row r="10" spans="1:7" ht="15" customHeight="1" x14ac:dyDescent="0.25">
      <c r="A10" s="8" t="s">
        <v>17</v>
      </c>
      <c r="B10" s="10"/>
      <c r="C10" s="10"/>
      <c r="D10" s="10"/>
      <c r="E10" s="10">
        <f t="shared" ref="E10:E11" si="1">0.25/13.125</f>
        <v>1.9047619047619049E-2</v>
      </c>
      <c r="F10" s="30"/>
      <c r="G10" s="10"/>
    </row>
    <row r="11" spans="1:7" ht="15" customHeight="1" x14ac:dyDescent="0.25">
      <c r="A11" s="8" t="s">
        <v>123</v>
      </c>
      <c r="B11" s="10"/>
      <c r="C11" s="10"/>
      <c r="D11" s="10"/>
      <c r="E11" s="10">
        <f t="shared" si="1"/>
        <v>1.9047619047619049E-2</v>
      </c>
      <c r="F11" s="30"/>
      <c r="G11" s="10"/>
    </row>
    <row r="12" spans="1:7" ht="15" customHeight="1" x14ac:dyDescent="0.25">
      <c r="A12" s="8" t="s">
        <v>250</v>
      </c>
      <c r="B12" s="10"/>
      <c r="C12" s="10"/>
      <c r="D12" s="10"/>
      <c r="E12" s="10">
        <f>0.125/13.125</f>
        <v>9.5238095238095247E-3</v>
      </c>
      <c r="F12" s="30"/>
      <c r="G12" s="10"/>
    </row>
    <row r="13" spans="1:7" ht="15" customHeight="1" x14ac:dyDescent="0.25">
      <c r="A13" s="8" t="s">
        <v>32</v>
      </c>
      <c r="B13" s="10"/>
      <c r="C13" s="10"/>
      <c r="D13" s="10"/>
      <c r="E13" s="10"/>
      <c r="F13" s="30">
        <f t="shared" ref="F13:F14" si="2">1.25/14.5</f>
        <v>8.6206896551724144E-2</v>
      </c>
      <c r="G13" s="10"/>
    </row>
    <row r="14" spans="1:7" ht="15" customHeight="1" x14ac:dyDescent="0.25">
      <c r="A14" s="8" t="s">
        <v>128</v>
      </c>
      <c r="B14" s="10"/>
      <c r="C14" s="10"/>
      <c r="D14" s="10"/>
      <c r="E14" s="10"/>
      <c r="F14" s="30">
        <f t="shared" si="2"/>
        <v>8.6206896551724144E-2</v>
      </c>
      <c r="G14" s="10">
        <f>1/11.5</f>
        <v>8.6956521739130432E-2</v>
      </c>
    </row>
    <row r="15" spans="1:7" ht="15" customHeight="1" x14ac:dyDescent="0.25">
      <c r="A15" s="8" t="s">
        <v>233</v>
      </c>
      <c r="B15" s="10"/>
      <c r="C15" s="10"/>
      <c r="D15" s="10"/>
      <c r="E15" s="10"/>
      <c r="F15" s="30"/>
      <c r="G15" s="10">
        <f>9/11.5</f>
        <v>0.78260869565217395</v>
      </c>
    </row>
    <row r="16" spans="1:7" ht="15" customHeight="1" x14ac:dyDescent="0.25">
      <c r="A16" s="8" t="s">
        <v>118</v>
      </c>
      <c r="B16" s="10"/>
      <c r="C16" s="10"/>
      <c r="D16" s="10"/>
      <c r="E16" s="10"/>
      <c r="F16" s="30"/>
      <c r="G16" s="10">
        <f t="shared" ref="G16:G17" si="3">0.5/11.5</f>
        <v>4.3478260869565216E-2</v>
      </c>
    </row>
    <row r="17" spans="1:7" ht="15" customHeight="1" x14ac:dyDescent="0.25">
      <c r="A17" s="8" t="s">
        <v>167</v>
      </c>
      <c r="B17" s="10"/>
      <c r="C17" s="10"/>
      <c r="D17" s="10"/>
      <c r="E17" s="10"/>
      <c r="F17" s="30"/>
      <c r="G17" s="10">
        <f t="shared" si="3"/>
        <v>4.3478260869565216E-2</v>
      </c>
    </row>
    <row r="18" spans="1:7" ht="15" customHeight="1" x14ac:dyDescent="0.25">
      <c r="A18" s="16" t="s">
        <v>134</v>
      </c>
      <c r="B18" s="10">
        <f t="shared" ref="B18:B19" si="4">3.5/44.5</f>
        <v>7.8651685393258425E-2</v>
      </c>
      <c r="C18" s="10"/>
      <c r="D18" s="10"/>
      <c r="E18" s="10"/>
      <c r="F18" s="30"/>
      <c r="G18" s="10"/>
    </row>
    <row r="19" spans="1:7" ht="15" customHeight="1" x14ac:dyDescent="0.25">
      <c r="A19" s="16" t="s">
        <v>269</v>
      </c>
      <c r="B19" s="10">
        <f t="shared" si="4"/>
        <v>7.8651685393258425E-2</v>
      </c>
      <c r="C19" s="10"/>
      <c r="D19" s="10"/>
      <c r="E19" s="10"/>
      <c r="F19" s="30"/>
      <c r="G19" s="10"/>
    </row>
    <row r="20" spans="1:7" ht="15" customHeight="1" x14ac:dyDescent="0.25">
      <c r="A20" s="16" t="s">
        <v>174</v>
      </c>
      <c r="B20" s="10">
        <f>0.5/44.5</f>
        <v>1.1235955056179775E-2</v>
      </c>
      <c r="C20" s="10"/>
      <c r="D20" s="10"/>
      <c r="E20" s="10"/>
      <c r="F20" s="30"/>
      <c r="G20" s="10"/>
    </row>
    <row r="21" spans="1:7" ht="15" customHeight="1" x14ac:dyDescent="0.25">
      <c r="A21" s="16" t="s">
        <v>165</v>
      </c>
      <c r="B21" s="10"/>
      <c r="C21" s="10">
        <f t="shared" ref="C21:C22" si="5">1/19</f>
        <v>5.2631578947368418E-2</v>
      </c>
      <c r="D21" s="10"/>
      <c r="E21" s="10"/>
      <c r="F21" s="30"/>
      <c r="G21" s="10"/>
    </row>
    <row r="22" spans="1:7" ht="15" customHeight="1" x14ac:dyDescent="0.25">
      <c r="A22" s="16" t="s">
        <v>271</v>
      </c>
      <c r="B22" s="10"/>
      <c r="C22" s="10">
        <f t="shared" si="5"/>
        <v>5.2631578947368418E-2</v>
      </c>
      <c r="D22" s="10"/>
      <c r="E22" s="10"/>
      <c r="F22" s="30"/>
      <c r="G22" s="10"/>
    </row>
    <row r="23" spans="1:7" ht="15" customHeight="1" x14ac:dyDescent="0.25">
      <c r="A23" s="16" t="s">
        <v>135</v>
      </c>
      <c r="B23" s="10"/>
      <c r="C23" s="10">
        <f>3/19</f>
        <v>0.15789473684210525</v>
      </c>
      <c r="D23" s="10"/>
      <c r="E23" s="10"/>
      <c r="F23" s="30"/>
      <c r="G23" s="10"/>
    </row>
    <row r="24" spans="1:7" ht="15" customHeight="1" x14ac:dyDescent="0.25">
      <c r="A24" s="16" t="s">
        <v>112</v>
      </c>
      <c r="B24" s="10"/>
      <c r="C24" s="10"/>
      <c r="D24" s="10">
        <f>10/11</f>
        <v>0.90909090909090906</v>
      </c>
      <c r="E24" s="10"/>
      <c r="F24" s="30"/>
      <c r="G24" s="10"/>
    </row>
    <row r="25" spans="1:7" ht="15" customHeight="1" x14ac:dyDescent="0.25">
      <c r="A25" s="16" t="s">
        <v>119</v>
      </c>
      <c r="B25" s="10"/>
      <c r="C25" s="10"/>
      <c r="D25" s="10">
        <f>1/11</f>
        <v>9.0909090909090912E-2</v>
      </c>
      <c r="E25" s="10"/>
      <c r="F25" s="30"/>
      <c r="G25" s="10"/>
    </row>
    <row r="26" spans="1:7" ht="15" customHeight="1" x14ac:dyDescent="0.25">
      <c r="A26" s="35"/>
      <c r="B26" s="13"/>
      <c r="C26" s="13"/>
      <c r="D26" s="13"/>
      <c r="E26" s="13"/>
      <c r="F26" s="13"/>
      <c r="G26" s="13"/>
    </row>
    <row r="27" spans="1:7" ht="15" customHeight="1" x14ac:dyDescent="0.25">
      <c r="A27" s="4"/>
      <c r="B27" s="4"/>
      <c r="C27" s="4"/>
      <c r="D27" s="4"/>
      <c r="E27" s="4"/>
      <c r="G27" s="4"/>
    </row>
    <row r="28" spans="1:7" ht="15" customHeight="1" x14ac:dyDescent="0.25">
      <c r="A28" s="17" t="s">
        <v>28</v>
      </c>
      <c r="B28" s="9"/>
      <c r="C28" s="9"/>
      <c r="D28" s="9"/>
      <c r="E28" s="9"/>
      <c r="F28" s="31"/>
      <c r="G28" s="9" t="s">
        <v>241</v>
      </c>
    </row>
    <row r="29" spans="1:7" ht="15" customHeight="1" x14ac:dyDescent="0.25">
      <c r="A29" s="48" t="s">
        <v>96</v>
      </c>
      <c r="B29" s="22" t="s">
        <v>243</v>
      </c>
      <c r="C29" s="19"/>
      <c r="D29" s="19"/>
      <c r="E29" s="19"/>
      <c r="F29" s="31"/>
      <c r="G29" s="9"/>
    </row>
    <row r="30" spans="1:7" ht="15" customHeight="1" x14ac:dyDescent="0.25">
      <c r="A30" s="17" t="s">
        <v>113</v>
      </c>
      <c r="B30" s="83"/>
      <c r="C30" s="83"/>
      <c r="D30" s="83"/>
      <c r="E30" s="83"/>
      <c r="F30" s="31"/>
      <c r="G30" s="9"/>
    </row>
    <row r="31" spans="1:7" ht="45" customHeight="1" x14ac:dyDescent="0.25">
      <c r="A31" s="81" t="s">
        <v>31</v>
      </c>
      <c r="B31" s="85"/>
      <c r="C31" s="85" t="s">
        <v>138</v>
      </c>
      <c r="D31" s="85" t="s">
        <v>275</v>
      </c>
      <c r="E31" s="85" t="s">
        <v>276</v>
      </c>
      <c r="F31" s="82" t="s">
        <v>195</v>
      </c>
      <c r="G31" s="9" t="s">
        <v>196</v>
      </c>
    </row>
    <row r="32" spans="1:7" ht="15" customHeight="1" x14ac:dyDescent="0.25">
      <c r="A32" s="18" t="s">
        <v>39</v>
      </c>
      <c r="B32" s="84"/>
      <c r="C32" s="84"/>
      <c r="D32" s="84"/>
      <c r="E32" s="84"/>
      <c r="F32" s="32"/>
      <c r="G32" s="19"/>
    </row>
    <row r="33" spans="1:7" ht="30" customHeight="1" x14ac:dyDescent="0.25">
      <c r="A33" s="18" t="s">
        <v>40</v>
      </c>
      <c r="B33" s="19"/>
      <c r="C33" s="22" t="s">
        <v>138</v>
      </c>
      <c r="D33" s="19"/>
      <c r="E33" s="19" t="s">
        <v>272</v>
      </c>
      <c r="F33" s="32" t="s">
        <v>195</v>
      </c>
      <c r="G33" s="19"/>
    </row>
    <row r="34" spans="1:7" ht="27.75" customHeight="1" x14ac:dyDescent="0.25">
      <c r="A34" s="18" t="s">
        <v>41</v>
      </c>
      <c r="B34" s="22" t="s">
        <v>195</v>
      </c>
      <c r="C34" s="19"/>
      <c r="D34" s="22" t="s">
        <v>277</v>
      </c>
      <c r="E34" s="19"/>
      <c r="F34" s="32"/>
      <c r="G34" s="19"/>
    </row>
    <row r="35" spans="1:7" ht="30" customHeight="1" x14ac:dyDescent="0.25">
      <c r="A35" s="18" t="s">
        <v>43</v>
      </c>
      <c r="B35" s="19"/>
      <c r="C35" s="19"/>
      <c r="D35" s="19"/>
      <c r="E35" s="19" t="s">
        <v>272</v>
      </c>
      <c r="F35" s="32" t="s">
        <v>195</v>
      </c>
      <c r="G35" s="19"/>
    </row>
    <row r="36" spans="1:7" ht="15" customHeight="1" x14ac:dyDescent="0.25">
      <c r="A36" s="18" t="s">
        <v>44</v>
      </c>
      <c r="B36" s="19"/>
      <c r="C36" s="19"/>
      <c r="D36" s="22" t="s">
        <v>206</v>
      </c>
      <c r="E36" s="19"/>
      <c r="F36" s="32"/>
      <c r="G36" s="19" t="s">
        <v>278</v>
      </c>
    </row>
    <row r="37" spans="1:7" ht="30" customHeight="1" x14ac:dyDescent="0.25">
      <c r="A37" s="18" t="s">
        <v>45</v>
      </c>
      <c r="B37" s="19"/>
      <c r="C37" s="22" t="s">
        <v>206</v>
      </c>
      <c r="D37" s="19"/>
      <c r="E37" s="19" t="s">
        <v>272</v>
      </c>
      <c r="F37" s="32" t="s">
        <v>195</v>
      </c>
      <c r="G37" s="19" t="s">
        <v>241</v>
      </c>
    </row>
    <row r="38" spans="1:7" ht="15" customHeight="1" x14ac:dyDescent="0.25">
      <c r="A38" s="18" t="s">
        <v>52</v>
      </c>
      <c r="B38" s="9"/>
      <c r="C38" s="20" t="s">
        <v>138</v>
      </c>
      <c r="D38" s="9"/>
      <c r="E38" s="9"/>
      <c r="F38" s="32"/>
      <c r="G38" s="19"/>
    </row>
    <row r="39" spans="1:7" ht="15" customHeight="1" x14ac:dyDescent="0.25">
      <c r="A39" s="4"/>
      <c r="B39" s="4"/>
      <c r="C39" s="4"/>
      <c r="D39" s="4"/>
      <c r="E39" s="4"/>
      <c r="G39" s="4"/>
    </row>
    <row r="40" spans="1:7" ht="15" customHeight="1" x14ac:dyDescent="0.25">
      <c r="A40" s="17" t="s">
        <v>53</v>
      </c>
      <c r="B40" s="20">
        <v>1.0580000000000001</v>
      </c>
      <c r="C40" s="20">
        <v>1.048</v>
      </c>
      <c r="D40" s="25" t="s">
        <v>106</v>
      </c>
      <c r="E40" s="9">
        <v>1.0580000000000001</v>
      </c>
      <c r="F40" s="31">
        <v>1.06</v>
      </c>
      <c r="G40" s="9">
        <v>1.0640000000000001</v>
      </c>
    </row>
    <row r="41" spans="1:7" ht="15" customHeight="1" x14ac:dyDescent="0.25">
      <c r="A41" s="17" t="s">
        <v>55</v>
      </c>
      <c r="B41" s="20">
        <v>1.0149999999999999</v>
      </c>
      <c r="C41" s="20">
        <v>1.004</v>
      </c>
      <c r="D41" s="25" t="s">
        <v>106</v>
      </c>
      <c r="E41" s="9">
        <v>1.0149999999999999</v>
      </c>
      <c r="F41" s="31">
        <v>1.0169999999999999</v>
      </c>
      <c r="G41" s="9">
        <v>1.0169999999999999</v>
      </c>
    </row>
    <row r="42" spans="1:7" ht="15" customHeight="1" x14ac:dyDescent="0.25">
      <c r="A42" s="17" t="s">
        <v>57</v>
      </c>
      <c r="B42" s="45" t="s">
        <v>280</v>
      </c>
      <c r="C42" s="36">
        <v>155</v>
      </c>
      <c r="D42" s="36">
        <v>148</v>
      </c>
      <c r="E42" s="33">
        <v>152</v>
      </c>
      <c r="F42" s="31">
        <v>154</v>
      </c>
      <c r="G42" s="24">
        <v>154</v>
      </c>
    </row>
    <row r="43" spans="1:7" ht="15" customHeight="1" x14ac:dyDescent="0.25">
      <c r="A43" s="17" t="s">
        <v>58</v>
      </c>
      <c r="B43" s="25" t="s">
        <v>252</v>
      </c>
      <c r="C43" s="25">
        <v>1056</v>
      </c>
      <c r="D43" s="25">
        <v>1056</v>
      </c>
      <c r="E43" s="24" t="s">
        <v>252</v>
      </c>
      <c r="F43" s="34">
        <v>1768</v>
      </c>
      <c r="G43" s="24" t="s">
        <v>281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7.7109375" customWidth="1"/>
    <col min="2" max="2" width="12" customWidth="1"/>
    <col min="3" max="3" width="11.28515625" customWidth="1"/>
    <col min="4" max="4" width="10.28515625" customWidth="1"/>
    <col min="5" max="6" width="7.5703125" customWidth="1"/>
  </cols>
  <sheetData>
    <row r="1" spans="1:4" ht="23.25" customHeight="1" x14ac:dyDescent="0.35">
      <c r="A1" s="3" t="s">
        <v>265</v>
      </c>
    </row>
    <row r="2" spans="1:4" ht="15" customHeight="1" x14ac:dyDescent="0.25">
      <c r="A2" s="4"/>
    </row>
    <row r="3" spans="1:4" ht="23.25" customHeight="1" x14ac:dyDescent="0.35">
      <c r="A3" s="4"/>
      <c r="B3" s="43">
        <v>2005</v>
      </c>
      <c r="C3" s="7">
        <v>2007</v>
      </c>
      <c r="D3" s="7">
        <v>2014</v>
      </c>
    </row>
    <row r="4" spans="1:4" ht="15" customHeight="1" x14ac:dyDescent="0.25">
      <c r="A4" s="8" t="s">
        <v>214</v>
      </c>
      <c r="B4" s="10">
        <f>8/17</f>
        <v>0.47058823529411764</v>
      </c>
      <c r="C4" s="10"/>
      <c r="D4" s="10"/>
    </row>
    <row r="5" spans="1:4" ht="15" customHeight="1" x14ac:dyDescent="0.25">
      <c r="A5" s="8" t="s">
        <v>233</v>
      </c>
      <c r="B5" s="10">
        <f>7/17</f>
        <v>0.41176470588235292</v>
      </c>
      <c r="C5" s="10">
        <f>6/6.25</f>
        <v>0.96</v>
      </c>
      <c r="D5" s="10"/>
    </row>
    <row r="6" spans="1:4" ht="15" customHeight="1" x14ac:dyDescent="0.25">
      <c r="A6" s="8" t="s">
        <v>118</v>
      </c>
      <c r="B6" s="10">
        <f>1/17</f>
        <v>5.8823529411764705E-2</v>
      </c>
      <c r="C6" s="10"/>
      <c r="D6" s="10"/>
    </row>
    <row r="7" spans="1:4" ht="15" customHeight="1" x14ac:dyDescent="0.25">
      <c r="A7" s="8" t="s">
        <v>266</v>
      </c>
      <c r="B7" s="10">
        <f t="shared" ref="B7:B8" si="0">0.5/17</f>
        <v>2.9411764705882353E-2</v>
      </c>
      <c r="C7" s="10">
        <f>0.25/6.25</f>
        <v>0.04</v>
      </c>
      <c r="D7" s="10">
        <f>0.1/10.55</f>
        <v>9.4786729857819912E-3</v>
      </c>
    </row>
    <row r="8" spans="1:4" ht="15" customHeight="1" x14ac:dyDescent="0.25">
      <c r="A8" s="8" t="s">
        <v>250</v>
      </c>
      <c r="B8" s="10">
        <f t="shared" si="0"/>
        <v>2.9411764705882353E-2</v>
      </c>
      <c r="C8" s="10"/>
      <c r="D8" s="10"/>
    </row>
    <row r="9" spans="1:4" ht="15" customHeight="1" x14ac:dyDescent="0.25">
      <c r="A9" s="8" t="s">
        <v>14</v>
      </c>
      <c r="B9" s="10"/>
      <c r="C9" s="10"/>
      <c r="D9" s="10">
        <f>9/10.55</f>
        <v>0.85308056872037907</v>
      </c>
    </row>
    <row r="10" spans="1:4" ht="15" customHeight="1" x14ac:dyDescent="0.25">
      <c r="A10" s="8" t="s">
        <v>155</v>
      </c>
      <c r="B10" s="10"/>
      <c r="C10" s="10"/>
      <c r="D10" s="10">
        <f>0.1/10.55</f>
        <v>9.4786729857819912E-3</v>
      </c>
    </row>
    <row r="11" spans="1:4" ht="15" customHeight="1" x14ac:dyDescent="0.25">
      <c r="A11" s="8" t="s">
        <v>24</v>
      </c>
      <c r="B11" s="10"/>
      <c r="C11" s="10"/>
      <c r="D11" s="10">
        <f>1.1/10.55</f>
        <v>0.1042654028436019</v>
      </c>
    </row>
    <row r="12" spans="1:4" ht="15" customHeight="1" x14ac:dyDescent="0.25">
      <c r="A12" s="8" t="s">
        <v>128</v>
      </c>
      <c r="B12" s="10"/>
      <c r="C12" s="10"/>
      <c r="D12" s="10">
        <f>0.25/10.55</f>
        <v>2.3696682464454975E-2</v>
      </c>
    </row>
    <row r="13" spans="1:4" ht="15" customHeight="1" x14ac:dyDescent="0.25">
      <c r="A13" s="4"/>
    </row>
    <row r="14" spans="1:4" ht="15" customHeight="1" x14ac:dyDescent="0.25">
      <c r="A14" s="4"/>
    </row>
    <row r="15" spans="1:4" ht="15" customHeight="1" x14ac:dyDescent="0.25">
      <c r="A15" s="17" t="s">
        <v>28</v>
      </c>
      <c r="B15" s="9"/>
      <c r="C15" s="9"/>
      <c r="D15" s="9"/>
    </row>
    <row r="16" spans="1:4" ht="30" customHeight="1" x14ac:dyDescent="0.25">
      <c r="A16" s="18" t="s">
        <v>31</v>
      </c>
      <c r="B16" s="19" t="s">
        <v>195</v>
      </c>
      <c r="C16" s="19" t="s">
        <v>242</v>
      </c>
      <c r="D16" s="19" t="s">
        <v>195</v>
      </c>
    </row>
    <row r="17" spans="1:4" ht="15" customHeight="1" x14ac:dyDescent="0.25">
      <c r="A17" s="18" t="s">
        <v>39</v>
      </c>
      <c r="B17" s="9"/>
      <c r="C17" s="9"/>
      <c r="D17" s="9"/>
    </row>
    <row r="18" spans="1:4" ht="15" customHeight="1" x14ac:dyDescent="0.25">
      <c r="A18" s="18" t="s">
        <v>40</v>
      </c>
      <c r="B18" s="9"/>
      <c r="C18" s="9"/>
      <c r="D18" s="9"/>
    </row>
    <row r="19" spans="1:4" ht="30" customHeight="1" x14ac:dyDescent="0.25">
      <c r="A19" s="18" t="s">
        <v>41</v>
      </c>
      <c r="B19" s="9"/>
      <c r="C19" s="9"/>
      <c r="D19" s="19" t="s">
        <v>195</v>
      </c>
    </row>
    <row r="20" spans="1:4" ht="15" customHeight="1" x14ac:dyDescent="0.25">
      <c r="A20" s="18" t="s">
        <v>43</v>
      </c>
      <c r="B20" s="19"/>
      <c r="C20" s="9"/>
      <c r="D20" s="9"/>
    </row>
    <row r="21" spans="1:4" ht="30" customHeight="1" x14ac:dyDescent="0.25">
      <c r="A21" s="18" t="s">
        <v>44</v>
      </c>
      <c r="B21" s="9"/>
      <c r="C21" s="9"/>
      <c r="D21" s="19" t="s">
        <v>195</v>
      </c>
    </row>
    <row r="22" spans="1:4" ht="30" customHeight="1" x14ac:dyDescent="0.25">
      <c r="A22" s="18" t="s">
        <v>45</v>
      </c>
      <c r="B22" s="19"/>
      <c r="C22" s="9"/>
      <c r="D22" s="19" t="s">
        <v>195</v>
      </c>
    </row>
    <row r="23" spans="1:4" ht="15" customHeight="1" x14ac:dyDescent="0.25">
      <c r="A23" s="18" t="s">
        <v>52</v>
      </c>
      <c r="B23" s="19"/>
      <c r="C23" s="9"/>
      <c r="D23" s="9"/>
    </row>
    <row r="24" spans="1:4" ht="15" customHeight="1" x14ac:dyDescent="0.25">
      <c r="A24" s="4"/>
    </row>
    <row r="25" spans="1:4" ht="15" customHeight="1" x14ac:dyDescent="0.25">
      <c r="A25" s="17" t="s">
        <v>53</v>
      </c>
      <c r="B25" s="9">
        <v>1.036</v>
      </c>
      <c r="C25" s="9">
        <v>1.034</v>
      </c>
      <c r="D25" s="9">
        <v>1.0469999999999999</v>
      </c>
    </row>
    <row r="26" spans="1:4" ht="15" customHeight="1" x14ac:dyDescent="0.25">
      <c r="A26" s="17" t="s">
        <v>55</v>
      </c>
      <c r="B26" s="9">
        <v>1.01</v>
      </c>
      <c r="C26" s="9">
        <v>1.012</v>
      </c>
      <c r="D26" s="9">
        <v>1.024</v>
      </c>
    </row>
    <row r="27" spans="1:4" ht="15" customHeight="1" x14ac:dyDescent="0.25">
      <c r="A27" s="17" t="s">
        <v>57</v>
      </c>
      <c r="B27" s="9">
        <v>152</v>
      </c>
      <c r="C27" s="9">
        <v>150</v>
      </c>
      <c r="D27" s="9">
        <v>155</v>
      </c>
    </row>
    <row r="28" spans="1:4" ht="15" customHeight="1" x14ac:dyDescent="0.25">
      <c r="A28" s="17" t="s">
        <v>58</v>
      </c>
      <c r="B28" s="9">
        <v>1728</v>
      </c>
      <c r="C28" s="9">
        <v>1728</v>
      </c>
      <c r="D28" s="9">
        <v>1728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2" sqref="A2"/>
    </sheetView>
  </sheetViews>
  <sheetFormatPr defaultColWidth="15.140625" defaultRowHeight="15.75" customHeight="1" x14ac:dyDescent="0.25"/>
  <cols>
    <col min="1" max="2" width="15.85546875" customWidth="1"/>
    <col min="3" max="3" width="14.42578125" customWidth="1"/>
    <col min="4" max="4" width="10.85546875" customWidth="1"/>
    <col min="5" max="5" width="10.7109375" customWidth="1"/>
    <col min="6" max="6" width="10.140625" customWidth="1"/>
    <col min="7" max="8" width="7.5703125" customWidth="1"/>
  </cols>
  <sheetData>
    <row r="1" spans="1:6" ht="23.25" customHeight="1" x14ac:dyDescent="0.35">
      <c r="A1" s="3" t="s">
        <v>279</v>
      </c>
      <c r="B1" s="3"/>
      <c r="C1" s="3"/>
    </row>
    <row r="2" spans="1:6" ht="15" customHeight="1" x14ac:dyDescent="0.25">
      <c r="A2" s="4"/>
      <c r="B2" s="4"/>
      <c r="C2" s="4"/>
    </row>
    <row r="3" spans="1:6" ht="23.25" customHeight="1" x14ac:dyDescent="0.35">
      <c r="A3" s="4"/>
      <c r="B3" s="5">
        <v>2002</v>
      </c>
      <c r="C3" s="5">
        <v>2003</v>
      </c>
      <c r="D3" s="7">
        <v>2006</v>
      </c>
      <c r="E3" s="28">
        <v>2009</v>
      </c>
      <c r="F3" s="7">
        <v>2011</v>
      </c>
    </row>
    <row r="4" spans="1:6" ht="15" customHeight="1" x14ac:dyDescent="0.25">
      <c r="A4" s="8" t="s">
        <v>233</v>
      </c>
      <c r="B4" s="10"/>
      <c r="C4" s="10"/>
      <c r="D4" s="10">
        <f>13/16.25</f>
        <v>0.8</v>
      </c>
      <c r="E4" s="30"/>
      <c r="F4" s="10"/>
    </row>
    <row r="5" spans="1:6" ht="15" customHeight="1" x14ac:dyDescent="0.25">
      <c r="A5" s="8" t="s">
        <v>24</v>
      </c>
      <c r="B5" s="10">
        <f>0.5/8.44</f>
        <v>5.9241706161137442E-2</v>
      </c>
      <c r="C5" s="10"/>
      <c r="D5" s="10">
        <f>3/16.25</f>
        <v>0.18461538461538463</v>
      </c>
      <c r="E5" s="30"/>
      <c r="F5" s="10"/>
    </row>
    <row r="6" spans="1:6" ht="15" customHeight="1" x14ac:dyDescent="0.25">
      <c r="A6" s="8" t="s">
        <v>283</v>
      </c>
      <c r="B6" s="10"/>
      <c r="C6" s="10">
        <f>0.125/17.4375</f>
        <v>7.1684587813620072E-3</v>
      </c>
      <c r="D6" s="10">
        <f>0.25/16.25</f>
        <v>1.5384615384615385E-2</v>
      </c>
      <c r="E6" s="30"/>
      <c r="F6" s="10">
        <f>(3/16)/(8.5+3/16)</f>
        <v>2.1582733812949641E-2</v>
      </c>
    </row>
    <row r="7" spans="1:6" ht="15" customHeight="1" x14ac:dyDescent="0.25">
      <c r="A7" s="8" t="s">
        <v>286</v>
      </c>
      <c r="B7" s="10"/>
      <c r="C7" s="10"/>
      <c r="D7" s="10"/>
      <c r="E7" s="30">
        <f>11/13.94</f>
        <v>0.78909612625538028</v>
      </c>
      <c r="F7" s="10"/>
    </row>
    <row r="8" spans="1:6" ht="15" customHeight="1" x14ac:dyDescent="0.25">
      <c r="A8" s="8" t="s">
        <v>288</v>
      </c>
      <c r="B8" s="10"/>
      <c r="C8" s="10"/>
      <c r="D8" s="10"/>
      <c r="E8" s="30">
        <f t="shared" ref="E8:E10" si="0">0.75/13.94</f>
        <v>5.3802008608321378E-2</v>
      </c>
      <c r="F8" s="10"/>
    </row>
    <row r="9" spans="1:6" ht="15" customHeight="1" x14ac:dyDescent="0.25">
      <c r="A9" s="8" t="s">
        <v>128</v>
      </c>
      <c r="B9" s="10">
        <f>1/8.44</f>
        <v>0.11848341232227488</v>
      </c>
      <c r="C9" s="10"/>
      <c r="D9" s="10"/>
      <c r="E9" s="30">
        <f t="shared" si="0"/>
        <v>5.3802008608321378E-2</v>
      </c>
      <c r="F9" s="10"/>
    </row>
    <row r="10" spans="1:6" ht="15" customHeight="1" x14ac:dyDescent="0.25">
      <c r="A10" s="8" t="s">
        <v>118</v>
      </c>
      <c r="B10" s="10"/>
      <c r="C10" s="10"/>
      <c r="D10" s="10"/>
      <c r="E10" s="30">
        <f t="shared" si="0"/>
        <v>5.3802008608321378E-2</v>
      </c>
      <c r="F10" s="10"/>
    </row>
    <row r="11" spans="1:6" ht="15" customHeight="1" x14ac:dyDescent="0.25">
      <c r="A11" s="8" t="s">
        <v>291</v>
      </c>
      <c r="B11" s="10"/>
      <c r="C11" s="10"/>
      <c r="D11" s="10"/>
      <c r="E11" s="30">
        <f>0.38/13.94</f>
        <v>2.7259684361549498E-2</v>
      </c>
      <c r="F11" s="10"/>
    </row>
    <row r="12" spans="1:6" ht="15" customHeight="1" x14ac:dyDescent="0.25">
      <c r="A12" s="8" t="s">
        <v>155</v>
      </c>
      <c r="B12" s="10"/>
      <c r="C12" s="10"/>
      <c r="D12" s="10"/>
      <c r="E12" s="30">
        <f>0.31/13.94</f>
        <v>2.2238163558106171E-2</v>
      </c>
      <c r="F12" s="10"/>
    </row>
    <row r="13" spans="1:6" ht="15" customHeight="1" x14ac:dyDescent="0.25">
      <c r="A13" s="8" t="s">
        <v>112</v>
      </c>
      <c r="B13" s="10">
        <f>6.5/8.44</f>
        <v>0.77014218009478674</v>
      </c>
      <c r="C13" s="10"/>
      <c r="D13" s="10"/>
      <c r="E13" s="30"/>
      <c r="F13" s="10">
        <f>8.5/(8.5+3/16)</f>
        <v>0.97841726618705038</v>
      </c>
    </row>
    <row r="14" spans="1:6" ht="15" customHeight="1" x14ac:dyDescent="0.25">
      <c r="A14" s="16" t="s">
        <v>165</v>
      </c>
      <c r="B14" s="10">
        <f>0.25/8.44</f>
        <v>2.9620853080568721E-2</v>
      </c>
      <c r="C14" s="10">
        <f>1/17.4375</f>
        <v>5.7347670250896057E-2</v>
      </c>
      <c r="D14" s="10"/>
      <c r="E14" s="30"/>
      <c r="F14" s="10"/>
    </row>
    <row r="15" spans="1:6" ht="15" customHeight="1" x14ac:dyDescent="0.25">
      <c r="A15" s="16" t="s">
        <v>153</v>
      </c>
      <c r="B15" s="10">
        <f>0.19/8.44</f>
        <v>2.2511848341232227E-2</v>
      </c>
      <c r="C15" s="10"/>
      <c r="D15" s="10"/>
      <c r="E15" s="30"/>
      <c r="F15" s="10"/>
    </row>
    <row r="16" spans="1:6" ht="15" customHeight="1" x14ac:dyDescent="0.25">
      <c r="A16" s="16" t="s">
        <v>214</v>
      </c>
      <c r="B16" s="51"/>
      <c r="C16" s="10">
        <f>10/17.4375</f>
        <v>0.57347670250896055</v>
      </c>
      <c r="D16" s="10"/>
      <c r="E16" s="30"/>
      <c r="F16" s="10"/>
    </row>
    <row r="17" spans="1:6" ht="15" customHeight="1" x14ac:dyDescent="0.25">
      <c r="A17" s="16" t="s">
        <v>163</v>
      </c>
      <c r="B17" s="51"/>
      <c r="C17" s="10">
        <f>4/17.4375</f>
        <v>0.22939068100358423</v>
      </c>
      <c r="D17" s="10"/>
      <c r="E17" s="30"/>
      <c r="F17" s="10"/>
    </row>
    <row r="18" spans="1:6" ht="15" customHeight="1" x14ac:dyDescent="0.25">
      <c r="A18" s="16" t="s">
        <v>157</v>
      </c>
      <c r="B18" s="51"/>
      <c r="C18" s="10">
        <f t="shared" ref="C18:C19" si="1">1/17.4375</f>
        <v>5.7347670250896057E-2</v>
      </c>
      <c r="D18" s="10"/>
      <c r="E18" s="30"/>
      <c r="F18" s="10"/>
    </row>
    <row r="19" spans="1:6" ht="15" customHeight="1" x14ac:dyDescent="0.25">
      <c r="A19" s="16" t="s">
        <v>38</v>
      </c>
      <c r="B19" s="51"/>
      <c r="C19" s="10">
        <f t="shared" si="1"/>
        <v>5.7347670250896057E-2</v>
      </c>
      <c r="D19" s="10"/>
      <c r="E19" s="30"/>
      <c r="F19" s="10"/>
    </row>
    <row r="20" spans="1:6" ht="15" customHeight="1" x14ac:dyDescent="0.25">
      <c r="A20" s="16" t="s">
        <v>294</v>
      </c>
      <c r="B20" s="51"/>
      <c r="C20" s="10">
        <f>0.25/17.4375</f>
        <v>1.4336917562724014E-2</v>
      </c>
      <c r="D20" s="10"/>
      <c r="E20" s="30"/>
      <c r="F20" s="10"/>
    </row>
    <row r="21" spans="1:6" ht="15" customHeight="1" x14ac:dyDescent="0.25">
      <c r="A21" s="16" t="s">
        <v>287</v>
      </c>
      <c r="B21" s="51"/>
      <c r="C21" s="10">
        <f>0.0625/17.4375</f>
        <v>3.5842293906810036E-3</v>
      </c>
      <c r="D21" s="10"/>
      <c r="E21" s="30"/>
      <c r="F21" s="10"/>
    </row>
    <row r="22" spans="1:6" ht="15" customHeight="1" x14ac:dyDescent="0.25">
      <c r="A22" s="35"/>
      <c r="B22" s="13"/>
      <c r="C22" s="13"/>
      <c r="D22" s="13"/>
      <c r="E22" s="13"/>
      <c r="F22" s="13"/>
    </row>
    <row r="23" spans="1:6" ht="15" customHeight="1" x14ac:dyDescent="0.25">
      <c r="A23" s="4"/>
    </row>
    <row r="24" spans="1:6" ht="33" customHeight="1" x14ac:dyDescent="0.25">
      <c r="A24" s="17" t="s">
        <v>28</v>
      </c>
      <c r="B24" s="9"/>
      <c r="C24" s="46" t="s">
        <v>195</v>
      </c>
      <c r="D24" s="9" t="s">
        <v>241</v>
      </c>
      <c r="E24" s="31"/>
      <c r="F24" s="9"/>
    </row>
    <row r="25" spans="1:6" ht="30" customHeight="1" x14ac:dyDescent="0.25">
      <c r="A25" s="17" t="s">
        <v>113</v>
      </c>
      <c r="B25" s="83"/>
      <c r="C25" s="83"/>
      <c r="D25" s="83" t="s">
        <v>170</v>
      </c>
      <c r="E25" s="31"/>
      <c r="F25" s="9"/>
    </row>
    <row r="26" spans="1:6" ht="30" customHeight="1" x14ac:dyDescent="0.25">
      <c r="A26" s="81" t="s">
        <v>31</v>
      </c>
      <c r="B26" s="85" t="s">
        <v>195</v>
      </c>
      <c r="C26" s="85"/>
      <c r="D26" s="85"/>
      <c r="E26" s="82"/>
      <c r="F26" s="19" t="s">
        <v>195</v>
      </c>
    </row>
    <row r="27" spans="1:6" ht="15" customHeight="1" x14ac:dyDescent="0.25">
      <c r="A27" s="18" t="s">
        <v>39</v>
      </c>
      <c r="B27" s="84"/>
      <c r="C27" s="84"/>
      <c r="D27" s="84"/>
      <c r="E27" s="32"/>
      <c r="F27" s="19"/>
    </row>
    <row r="28" spans="1:6" ht="30" customHeight="1" x14ac:dyDescent="0.25">
      <c r="A28" s="18" t="s">
        <v>40</v>
      </c>
      <c r="B28" s="19"/>
      <c r="C28" s="19"/>
      <c r="D28" s="19"/>
      <c r="E28" s="32" t="s">
        <v>195</v>
      </c>
      <c r="F28" s="19"/>
    </row>
    <row r="29" spans="1:6" ht="15" customHeight="1" x14ac:dyDescent="0.25">
      <c r="A29" s="18" t="s">
        <v>41</v>
      </c>
      <c r="B29" s="19"/>
      <c r="C29" s="19"/>
      <c r="D29" s="19"/>
      <c r="E29" s="32"/>
      <c r="F29" s="19"/>
    </row>
    <row r="30" spans="1:6" ht="15" customHeight="1" x14ac:dyDescent="0.25">
      <c r="A30" s="18" t="s">
        <v>43</v>
      </c>
      <c r="B30" s="19"/>
      <c r="C30" s="19"/>
      <c r="D30" s="19"/>
      <c r="E30" s="32"/>
      <c r="F30" s="19"/>
    </row>
    <row r="31" spans="1:6" ht="15" customHeight="1" x14ac:dyDescent="0.25">
      <c r="A31" s="18" t="s">
        <v>44</v>
      </c>
      <c r="B31" s="19"/>
      <c r="C31" s="19"/>
      <c r="D31" s="19"/>
      <c r="E31" s="32"/>
      <c r="F31" s="19"/>
    </row>
    <row r="32" spans="1:6" ht="15" customHeight="1" x14ac:dyDescent="0.25">
      <c r="A32" s="18" t="s">
        <v>45</v>
      </c>
      <c r="B32" s="19"/>
      <c r="C32" s="19"/>
      <c r="D32" s="19"/>
      <c r="E32" s="32"/>
      <c r="F32" s="19"/>
    </row>
    <row r="33" spans="1:6" ht="15" customHeight="1" x14ac:dyDescent="0.25">
      <c r="A33" s="18" t="s">
        <v>52</v>
      </c>
      <c r="B33" s="9"/>
      <c r="C33" s="9"/>
      <c r="D33" s="9"/>
      <c r="E33" s="32"/>
      <c r="F33" s="19"/>
    </row>
    <row r="34" spans="1:6" ht="15" customHeight="1" x14ac:dyDescent="0.25">
      <c r="A34" s="4"/>
    </row>
    <row r="35" spans="1:6" ht="15" customHeight="1" x14ac:dyDescent="0.25">
      <c r="A35" s="17" t="s">
        <v>53</v>
      </c>
      <c r="B35" s="20">
        <v>1.0369999999999999</v>
      </c>
      <c r="C35" s="20">
        <v>1.0580000000000001</v>
      </c>
      <c r="D35" s="9">
        <v>1.044</v>
      </c>
      <c r="E35" s="31">
        <v>1.04</v>
      </c>
      <c r="F35" s="9">
        <v>1.04</v>
      </c>
    </row>
    <row r="36" spans="1:6" ht="15" customHeight="1" x14ac:dyDescent="0.25">
      <c r="A36" s="17" t="s">
        <v>55</v>
      </c>
      <c r="B36" s="25">
        <v>1.0149999999999999</v>
      </c>
      <c r="C36" s="25">
        <v>1.0149999999999999</v>
      </c>
      <c r="D36" s="24" t="s">
        <v>106</v>
      </c>
      <c r="E36" s="31">
        <v>1.012</v>
      </c>
      <c r="F36" s="9">
        <v>1.0129999999999999</v>
      </c>
    </row>
    <row r="37" spans="1:6" ht="15" customHeight="1" x14ac:dyDescent="0.25">
      <c r="A37" s="17" t="s">
        <v>57</v>
      </c>
      <c r="B37" s="36">
        <v>154</v>
      </c>
      <c r="C37" s="36">
        <v>157</v>
      </c>
      <c r="D37" s="33">
        <v>154</v>
      </c>
      <c r="E37" s="31">
        <v>158</v>
      </c>
      <c r="F37" s="24">
        <v>154</v>
      </c>
    </row>
    <row r="38" spans="1:6" ht="15" customHeight="1" x14ac:dyDescent="0.25">
      <c r="A38" s="17" t="s">
        <v>58</v>
      </c>
      <c r="B38" s="25" t="s">
        <v>298</v>
      </c>
      <c r="C38" s="25" t="s">
        <v>281</v>
      </c>
      <c r="D38" s="24">
        <v>1728</v>
      </c>
      <c r="E38" s="34" t="s">
        <v>199</v>
      </c>
      <c r="F38" s="24" t="s">
        <v>297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7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4.85546875" customWidth="1"/>
    <col min="2" max="2" width="15.7109375" customWidth="1"/>
    <col min="3" max="4" width="12.42578125" customWidth="1"/>
    <col min="5" max="5" width="11" customWidth="1"/>
    <col min="6" max="6" width="12" customWidth="1"/>
    <col min="7" max="7" width="11.42578125" customWidth="1"/>
    <col min="8" max="8" width="11.28515625" customWidth="1"/>
    <col min="9" max="9" width="11" customWidth="1"/>
    <col min="10" max="11" width="7.5703125" customWidth="1"/>
  </cols>
  <sheetData>
    <row r="1" spans="1:11" ht="23.25" customHeight="1" x14ac:dyDescent="0.35">
      <c r="A1" s="3" t="s">
        <v>6</v>
      </c>
      <c r="B1" s="3"/>
      <c r="C1" s="3"/>
      <c r="D1" s="3"/>
      <c r="E1" s="4"/>
      <c r="F1" s="4"/>
      <c r="G1" s="4"/>
      <c r="H1" s="4"/>
    </row>
    <row r="2" spans="1:11" ht="15" customHeight="1" x14ac:dyDescent="0.25">
      <c r="A2" s="4"/>
      <c r="B2" s="4"/>
      <c r="C2" s="4"/>
      <c r="D2" s="4"/>
      <c r="E2" s="4"/>
      <c r="F2" s="4"/>
      <c r="G2" s="4"/>
      <c r="H2" s="4"/>
    </row>
    <row r="3" spans="1:11" ht="23.25" customHeight="1" x14ac:dyDescent="0.35">
      <c r="A3" s="4"/>
      <c r="B3" s="5">
        <v>2001</v>
      </c>
      <c r="C3" s="5">
        <v>2002</v>
      </c>
      <c r="D3" s="5">
        <v>2003</v>
      </c>
      <c r="E3" s="7">
        <v>2006</v>
      </c>
      <c r="F3" s="7">
        <v>2008</v>
      </c>
      <c r="G3" s="7">
        <v>2009</v>
      </c>
      <c r="H3" s="7">
        <v>2013</v>
      </c>
      <c r="I3" s="7">
        <v>2016</v>
      </c>
    </row>
    <row r="4" spans="1:11" ht="15" customHeight="1" x14ac:dyDescent="0.25">
      <c r="A4" s="8" t="s">
        <v>14</v>
      </c>
      <c r="B4" s="9"/>
      <c r="C4" s="9"/>
      <c r="D4" s="9"/>
      <c r="E4" s="9"/>
      <c r="F4" s="9"/>
      <c r="G4" s="10">
        <f>12/13</f>
        <v>0.92307692307692313</v>
      </c>
      <c r="H4" s="10">
        <f>8.3/10.3</f>
        <v>0.80582524271844658</v>
      </c>
      <c r="I4" s="10"/>
    </row>
    <row r="5" spans="1:11" ht="15" customHeight="1" x14ac:dyDescent="0.25">
      <c r="A5" s="8" t="s">
        <v>16</v>
      </c>
      <c r="B5" s="12">
        <f>13.5/16</f>
        <v>0.84375</v>
      </c>
      <c r="C5" s="9"/>
      <c r="D5" s="12">
        <f>5.25/7.5</f>
        <v>0.7</v>
      </c>
      <c r="E5" s="9"/>
      <c r="F5" s="10">
        <f>6/9</f>
        <v>0.66666666666666663</v>
      </c>
      <c r="G5" s="10"/>
      <c r="H5" s="10"/>
      <c r="I5" s="10">
        <f>8.56/10.68</f>
        <v>0.80149812734082404</v>
      </c>
    </row>
    <row r="6" spans="1:11" ht="15" customHeight="1" x14ac:dyDescent="0.25">
      <c r="A6" s="8" t="s">
        <v>19</v>
      </c>
      <c r="B6" s="12"/>
      <c r="C6" s="14">
        <f>8/11</f>
        <v>0.72727272727272729</v>
      </c>
      <c r="D6" s="12"/>
      <c r="E6" s="14">
        <v>1</v>
      </c>
      <c r="F6" s="10"/>
      <c r="G6" s="10"/>
      <c r="H6" s="10"/>
      <c r="I6" s="10"/>
    </row>
    <row r="7" spans="1:11" ht="15" customHeight="1" x14ac:dyDescent="0.25">
      <c r="A7" s="8" t="s">
        <v>20</v>
      </c>
      <c r="B7" s="12"/>
      <c r="C7" s="9"/>
      <c r="D7" s="12">
        <f>2.25/7.5</f>
        <v>0.3</v>
      </c>
      <c r="E7" s="9"/>
      <c r="F7" s="10">
        <f>3/9</f>
        <v>0.33333333333333331</v>
      </c>
      <c r="G7" s="10">
        <f>1/13</f>
        <v>7.6923076923076927E-2</v>
      </c>
      <c r="H7" s="10">
        <f>2/10.3</f>
        <v>0.1941747572815534</v>
      </c>
      <c r="I7" s="10"/>
    </row>
    <row r="8" spans="1:11" ht="15" customHeight="1" x14ac:dyDescent="0.25">
      <c r="A8" s="16" t="s">
        <v>26</v>
      </c>
      <c r="B8" s="12">
        <f>2/16</f>
        <v>0.125</v>
      </c>
      <c r="C8" s="10">
        <f>1/11</f>
        <v>9.0909090909090912E-2</v>
      </c>
      <c r="D8" s="14"/>
      <c r="E8" s="14"/>
      <c r="F8" s="10"/>
      <c r="G8" s="10"/>
      <c r="H8" s="10"/>
      <c r="I8" s="10"/>
    </row>
    <row r="9" spans="1:11" ht="15" customHeight="1" x14ac:dyDescent="0.25">
      <c r="A9" s="16" t="s">
        <v>32</v>
      </c>
      <c r="B9" s="12">
        <f>0.5/16</f>
        <v>3.125E-2</v>
      </c>
      <c r="C9" s="10"/>
      <c r="D9" s="9"/>
      <c r="E9" s="9"/>
      <c r="F9" s="10"/>
      <c r="G9" s="10"/>
      <c r="H9" s="10"/>
      <c r="I9" s="10"/>
    </row>
    <row r="10" spans="1:11" ht="15" customHeight="1" x14ac:dyDescent="0.25">
      <c r="A10" s="16" t="s">
        <v>34</v>
      </c>
      <c r="B10" s="12"/>
      <c r="C10" s="10">
        <f t="shared" ref="C10:C11" si="0">1/11</f>
        <v>9.0909090909090912E-2</v>
      </c>
      <c r="D10" s="14"/>
      <c r="E10" s="14"/>
      <c r="F10" s="10"/>
      <c r="G10" s="10"/>
      <c r="H10" s="10"/>
      <c r="I10" s="10"/>
    </row>
    <row r="11" spans="1:11" ht="15" customHeight="1" x14ac:dyDescent="0.25">
      <c r="A11" s="16" t="s">
        <v>38</v>
      </c>
      <c r="B11" s="12"/>
      <c r="C11" s="12">
        <f t="shared" si="0"/>
        <v>9.0909090909090912E-2</v>
      </c>
      <c r="D11" s="9"/>
      <c r="E11" s="9"/>
      <c r="F11" s="10"/>
      <c r="G11" s="10"/>
      <c r="H11" s="10"/>
      <c r="I11" s="10"/>
    </row>
    <row r="12" spans="1:11" ht="15" customHeight="1" x14ac:dyDescent="0.25">
      <c r="A12" s="16" t="s">
        <v>25</v>
      </c>
      <c r="B12" s="12"/>
      <c r="C12" s="12"/>
      <c r="D12" s="9"/>
      <c r="E12" s="9"/>
      <c r="F12" s="10"/>
      <c r="G12" s="10"/>
      <c r="H12" s="10"/>
      <c r="I12" s="21">
        <v>0.19900000000000001</v>
      </c>
    </row>
    <row r="13" spans="1:11" ht="15" customHeight="1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11" ht="15" customHeight="1" x14ac:dyDescent="0.25">
      <c r="A14" s="17" t="s">
        <v>28</v>
      </c>
      <c r="B14" s="9"/>
      <c r="C14" s="9"/>
      <c r="D14" s="20" t="s">
        <v>47</v>
      </c>
      <c r="E14" s="9"/>
      <c r="F14" s="9" t="s">
        <v>36</v>
      </c>
      <c r="G14" s="9"/>
      <c r="H14" s="9"/>
      <c r="I14" s="9"/>
      <c r="J14" s="15"/>
      <c r="K14" s="15"/>
    </row>
    <row r="15" spans="1:11" ht="15" customHeight="1" x14ac:dyDescent="0.25">
      <c r="A15" s="18" t="s">
        <v>31</v>
      </c>
      <c r="B15" s="20" t="s">
        <v>48</v>
      </c>
      <c r="C15" s="20" t="s">
        <v>49</v>
      </c>
      <c r="D15" s="20" t="s">
        <v>50</v>
      </c>
      <c r="E15" s="9" t="s">
        <v>36</v>
      </c>
      <c r="F15" s="9" t="s">
        <v>36</v>
      </c>
      <c r="G15" s="9" t="s">
        <v>36</v>
      </c>
      <c r="H15" s="9" t="s">
        <v>36</v>
      </c>
      <c r="I15" s="20" t="s">
        <v>51</v>
      </c>
      <c r="J15" s="15"/>
      <c r="K15" s="15"/>
    </row>
    <row r="16" spans="1:11" ht="15" customHeight="1" x14ac:dyDescent="0.25">
      <c r="A16" s="18" t="s">
        <v>39</v>
      </c>
      <c r="B16" s="9"/>
      <c r="C16" s="9"/>
      <c r="D16" s="9"/>
      <c r="E16" s="9"/>
      <c r="F16" s="19"/>
      <c r="G16" s="9"/>
      <c r="H16" s="9"/>
      <c r="I16" s="9"/>
      <c r="J16" s="15"/>
      <c r="K16" s="15"/>
    </row>
    <row r="17" spans="1:11" ht="15" customHeight="1" x14ac:dyDescent="0.25">
      <c r="A17" s="18" t="s">
        <v>40</v>
      </c>
      <c r="B17" s="9"/>
      <c r="C17" s="20" t="s">
        <v>49</v>
      </c>
      <c r="D17" s="9"/>
      <c r="E17" s="9"/>
      <c r="F17" s="19"/>
      <c r="G17" s="9"/>
      <c r="H17" s="9"/>
      <c r="I17" s="9"/>
      <c r="J17" s="23"/>
      <c r="K17" s="15"/>
    </row>
    <row r="18" spans="1:11" ht="15" customHeight="1" x14ac:dyDescent="0.25">
      <c r="A18" s="18" t="s">
        <v>41</v>
      </c>
      <c r="B18" s="9"/>
      <c r="C18" s="9"/>
      <c r="D18" s="9"/>
      <c r="E18" s="9" t="s">
        <v>36</v>
      </c>
      <c r="F18" s="19"/>
      <c r="G18" s="9"/>
      <c r="H18" s="9"/>
      <c r="I18" s="9"/>
      <c r="J18" s="15"/>
      <c r="K18" s="15"/>
    </row>
    <row r="19" spans="1:11" ht="15" customHeight="1" x14ac:dyDescent="0.25">
      <c r="A19" s="18" t="s">
        <v>43</v>
      </c>
      <c r="B19" s="20" t="s">
        <v>42</v>
      </c>
      <c r="C19" s="20" t="s">
        <v>36</v>
      </c>
      <c r="D19" s="9"/>
      <c r="E19" s="9"/>
      <c r="F19" s="19"/>
      <c r="G19" s="9"/>
      <c r="H19" s="9"/>
      <c r="I19" s="9"/>
      <c r="J19" s="23"/>
      <c r="K19" s="15"/>
    </row>
    <row r="20" spans="1:11" ht="15" customHeight="1" x14ac:dyDescent="0.25">
      <c r="A20" s="18" t="s">
        <v>44</v>
      </c>
      <c r="B20" s="9"/>
      <c r="C20" s="9"/>
      <c r="D20" s="9"/>
      <c r="E20" s="9"/>
      <c r="F20" s="19"/>
      <c r="G20" s="9"/>
      <c r="H20" s="9"/>
      <c r="I20" s="20" t="s">
        <v>56</v>
      </c>
      <c r="J20" s="15"/>
      <c r="K20" s="23"/>
    </row>
    <row r="21" spans="1:11" ht="15" customHeight="1" x14ac:dyDescent="0.25">
      <c r="A21" s="18" t="s">
        <v>45</v>
      </c>
      <c r="B21" s="9"/>
      <c r="C21" s="9"/>
      <c r="D21" s="9"/>
      <c r="E21" s="9"/>
      <c r="F21" s="19"/>
      <c r="G21" s="9"/>
      <c r="H21" s="19"/>
      <c r="I21" s="19"/>
      <c r="J21" s="23"/>
      <c r="K21" s="15"/>
    </row>
    <row r="22" spans="1:11" ht="15" customHeight="1" x14ac:dyDescent="0.25">
      <c r="A22" s="18" t="s">
        <v>52</v>
      </c>
      <c r="B22" s="9"/>
      <c r="C22" s="9"/>
      <c r="D22" s="9"/>
      <c r="E22" s="9"/>
      <c r="F22" s="19"/>
      <c r="G22" s="9"/>
      <c r="H22" s="9"/>
      <c r="I22" s="9"/>
      <c r="J22" s="23"/>
      <c r="K22" s="23"/>
    </row>
    <row r="23" spans="1:11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11" ht="15" customHeight="1" x14ac:dyDescent="0.25">
      <c r="A24" s="17" t="s">
        <v>53</v>
      </c>
      <c r="B24" s="20">
        <v>1.046</v>
      </c>
      <c r="C24" s="20">
        <v>1.048</v>
      </c>
      <c r="D24" s="20">
        <v>1.042</v>
      </c>
      <c r="E24" s="9">
        <v>1.04</v>
      </c>
      <c r="F24" s="9">
        <v>1.0449999999999999</v>
      </c>
      <c r="G24" s="9">
        <v>1.0329999999999999</v>
      </c>
      <c r="H24" s="9">
        <v>1.048</v>
      </c>
      <c r="I24" s="20">
        <v>1.0469999999999999</v>
      </c>
    </row>
    <row r="25" spans="1:11" ht="15" customHeight="1" x14ac:dyDescent="0.25">
      <c r="A25" s="17" t="s">
        <v>55</v>
      </c>
      <c r="B25" s="20">
        <v>1.008</v>
      </c>
      <c r="C25" s="20">
        <v>1.012</v>
      </c>
      <c r="D25" s="20">
        <v>1.0069999999999999</v>
      </c>
      <c r="E25" s="9">
        <v>1.0069999999999999</v>
      </c>
      <c r="F25" s="9">
        <v>1.0069999999999999</v>
      </c>
      <c r="G25" s="9">
        <v>1.006</v>
      </c>
      <c r="H25" s="9">
        <v>1.008</v>
      </c>
      <c r="I25" s="20">
        <v>1.01</v>
      </c>
    </row>
    <row r="26" spans="1:11" ht="15" customHeight="1" x14ac:dyDescent="0.25">
      <c r="A26" s="17" t="s">
        <v>57</v>
      </c>
      <c r="B26" s="20" t="s">
        <v>59</v>
      </c>
      <c r="C26" s="20">
        <v>147</v>
      </c>
      <c r="D26" s="25" t="s">
        <v>61</v>
      </c>
      <c r="E26" s="9">
        <v>152</v>
      </c>
      <c r="F26" s="9">
        <v>149</v>
      </c>
      <c r="G26" s="9">
        <v>148</v>
      </c>
      <c r="H26" s="9">
        <v>149</v>
      </c>
      <c r="I26" s="20">
        <v>148</v>
      </c>
    </row>
    <row r="27" spans="1:11" ht="15" customHeight="1" x14ac:dyDescent="0.25">
      <c r="A27" s="17" t="s">
        <v>58</v>
      </c>
      <c r="B27" s="20">
        <v>838</v>
      </c>
      <c r="C27" s="20">
        <v>810</v>
      </c>
      <c r="D27" s="20">
        <v>2124</v>
      </c>
      <c r="E27" s="9">
        <v>2112</v>
      </c>
      <c r="F27" s="24">
        <v>2007</v>
      </c>
      <c r="G27" s="9">
        <v>2007</v>
      </c>
      <c r="H27" s="24">
        <v>840</v>
      </c>
      <c r="I27" s="25">
        <v>2042</v>
      </c>
    </row>
    <row r="28" spans="1:11" ht="15" customHeight="1" x14ac:dyDescent="0.25">
      <c r="A28" s="27"/>
      <c r="B28" s="27"/>
      <c r="C28" s="27"/>
      <c r="D28" s="27"/>
      <c r="E28" s="15"/>
      <c r="F28" s="26"/>
      <c r="G28" s="15"/>
      <c r="H28" s="26"/>
    </row>
    <row r="29" spans="1:11" ht="15" customHeight="1" x14ac:dyDescent="0.25">
      <c r="A29" s="27"/>
      <c r="B29" s="27"/>
      <c r="C29" s="27"/>
      <c r="D29" s="27"/>
      <c r="E29" s="15"/>
      <c r="F29" s="26"/>
      <c r="G29" s="15"/>
      <c r="H29" s="26"/>
    </row>
    <row r="30" spans="1:11" ht="15" customHeight="1" x14ac:dyDescent="0.25">
      <c r="A30" s="27"/>
      <c r="B30" s="27"/>
      <c r="C30" s="27"/>
      <c r="D30" s="27"/>
      <c r="E30" s="15"/>
      <c r="F30" s="26"/>
      <c r="G30" s="15"/>
      <c r="H30" s="26"/>
    </row>
    <row r="31" spans="1:11" ht="15" customHeight="1" x14ac:dyDescent="0.25">
      <c r="A31" s="27"/>
      <c r="B31" s="27"/>
      <c r="C31" s="27"/>
      <c r="D31" s="27"/>
      <c r="E31" s="15"/>
      <c r="F31" s="26"/>
      <c r="G31" s="15"/>
      <c r="H31" s="26"/>
    </row>
    <row r="32" spans="1:11" ht="15" customHeight="1" x14ac:dyDescent="0.25">
      <c r="A32" s="27"/>
      <c r="B32" s="27"/>
      <c r="C32" s="27"/>
      <c r="D32" s="27"/>
      <c r="E32" s="15"/>
      <c r="F32" s="26"/>
      <c r="G32" s="15"/>
      <c r="H32" s="26"/>
    </row>
    <row r="33" spans="1:8" ht="15" customHeight="1" x14ac:dyDescent="0.25">
      <c r="A33" s="27"/>
      <c r="B33" s="27"/>
      <c r="C33" s="27"/>
      <c r="D33" s="27"/>
      <c r="E33" s="15"/>
      <c r="F33" s="26"/>
      <c r="G33" s="15"/>
      <c r="H33" s="26"/>
    </row>
    <row r="34" spans="1:8" ht="15" customHeight="1" x14ac:dyDescent="0.25">
      <c r="A34" s="27"/>
      <c r="B34" s="27"/>
      <c r="C34" s="27"/>
      <c r="D34" s="27"/>
      <c r="E34" s="15"/>
      <c r="F34" s="26"/>
      <c r="G34" s="15"/>
      <c r="H34" s="26"/>
    </row>
    <row r="35" spans="1:8" ht="15" customHeight="1" x14ac:dyDescent="0.25">
      <c r="A35" s="27"/>
      <c r="B35" s="27"/>
      <c r="C35" s="27"/>
      <c r="D35" s="27"/>
      <c r="E35" s="15"/>
      <c r="F35" s="26"/>
      <c r="G35" s="15"/>
      <c r="H35" s="26"/>
    </row>
    <row r="36" spans="1:8" ht="15" customHeight="1" x14ac:dyDescent="0.25">
      <c r="A36" s="27"/>
      <c r="B36" s="27"/>
      <c r="C36" s="27"/>
      <c r="D36" s="27"/>
      <c r="E36" s="15"/>
      <c r="F36" s="26"/>
      <c r="G36" s="15"/>
      <c r="H36" s="26"/>
    </row>
    <row r="37" spans="1:8" ht="15" customHeight="1" x14ac:dyDescent="0.25">
      <c r="A37" s="27"/>
      <c r="B37" s="27"/>
      <c r="C37" s="27"/>
      <c r="D37" s="27"/>
      <c r="E37" s="15"/>
      <c r="F37" s="26"/>
      <c r="G37" s="15"/>
      <c r="H37" s="26"/>
    </row>
    <row r="38" spans="1:8" ht="15" customHeight="1" x14ac:dyDescent="0.25">
      <c r="A38" s="27"/>
      <c r="B38" s="27"/>
      <c r="C38" s="27"/>
      <c r="D38" s="27"/>
      <c r="E38" s="15"/>
      <c r="F38" s="26"/>
      <c r="G38" s="15"/>
      <c r="H38" s="26"/>
    </row>
    <row r="39" spans="1:8" ht="15" customHeight="1" x14ac:dyDescent="0.25">
      <c r="A39" s="27"/>
      <c r="B39" s="27"/>
      <c r="C39" s="27"/>
      <c r="D39" s="27"/>
      <c r="E39" s="15"/>
      <c r="F39" s="26"/>
      <c r="G39" s="15"/>
      <c r="H39" s="26"/>
    </row>
    <row r="40" spans="1:8" ht="15" customHeight="1" x14ac:dyDescent="0.25">
      <c r="A40" s="27"/>
      <c r="B40" s="27"/>
      <c r="C40" s="27"/>
      <c r="D40" s="27"/>
      <c r="E40" s="15"/>
      <c r="F40" s="26"/>
      <c r="G40" s="15"/>
      <c r="H40" s="26"/>
    </row>
    <row r="41" spans="1:8" ht="15" customHeight="1" x14ac:dyDescent="0.25">
      <c r="A41" s="27"/>
      <c r="B41" s="27"/>
      <c r="C41" s="27"/>
      <c r="D41" s="27"/>
      <c r="E41" s="15"/>
      <c r="F41" s="26"/>
      <c r="G41" s="15"/>
      <c r="H41" s="26"/>
    </row>
    <row r="42" spans="1:8" ht="15" customHeight="1" x14ac:dyDescent="0.25">
      <c r="A42" s="27"/>
      <c r="B42" s="27"/>
      <c r="C42" s="27"/>
      <c r="D42" s="27"/>
      <c r="E42" s="15"/>
      <c r="F42" s="26"/>
      <c r="G42" s="15"/>
      <c r="H42" s="26"/>
    </row>
    <row r="43" spans="1:8" ht="15" customHeight="1" x14ac:dyDescent="0.25">
      <c r="A43" s="27"/>
      <c r="B43" s="27"/>
      <c r="C43" s="27"/>
      <c r="D43" s="27"/>
      <c r="E43" s="15"/>
      <c r="F43" s="26"/>
      <c r="G43" s="15"/>
      <c r="H43" s="26"/>
    </row>
    <row r="44" spans="1:8" ht="15" customHeight="1" x14ac:dyDescent="0.25">
      <c r="A44" s="27"/>
      <c r="B44" s="27"/>
      <c r="C44" s="27"/>
      <c r="D44" s="27"/>
      <c r="E44" s="15"/>
      <c r="F44" s="26"/>
      <c r="G44" s="15"/>
      <c r="H44" s="26"/>
    </row>
    <row r="45" spans="1:8" ht="15" customHeight="1" x14ac:dyDescent="0.25">
      <c r="A45" s="27"/>
      <c r="B45" s="27"/>
      <c r="C45" s="27"/>
      <c r="D45" s="27"/>
      <c r="E45" s="15"/>
      <c r="F45" s="26"/>
      <c r="G45" s="15"/>
      <c r="H45" s="26"/>
    </row>
    <row r="46" spans="1:8" ht="15" customHeight="1" x14ac:dyDescent="0.25">
      <c r="A46" s="27"/>
      <c r="B46" s="27"/>
      <c r="C46" s="27"/>
      <c r="D46" s="27"/>
      <c r="E46" s="15"/>
      <c r="F46" s="26"/>
      <c r="G46" s="15"/>
      <c r="H46" s="26"/>
    </row>
    <row r="47" spans="1:8" ht="15" customHeight="1" x14ac:dyDescent="0.25">
      <c r="A47" s="27"/>
      <c r="B47" s="27"/>
      <c r="C47" s="27"/>
      <c r="D47" s="27"/>
      <c r="E47" s="15"/>
      <c r="F47" s="26"/>
      <c r="G47" s="15"/>
      <c r="H47" s="26"/>
    </row>
    <row r="48" spans="1:8" ht="15" customHeight="1" x14ac:dyDescent="0.25">
      <c r="A48" s="27"/>
      <c r="B48" s="27"/>
      <c r="C48" s="27"/>
      <c r="D48" s="27"/>
      <c r="E48" s="15"/>
      <c r="F48" s="26"/>
      <c r="G48" s="15"/>
      <c r="H48" s="26"/>
    </row>
    <row r="49" spans="1:8" ht="15" customHeight="1" x14ac:dyDescent="0.25">
      <c r="A49" s="27"/>
      <c r="B49" s="27"/>
      <c r="C49" s="27"/>
      <c r="D49" s="27"/>
      <c r="E49" s="15"/>
      <c r="F49" s="26"/>
      <c r="G49" s="15"/>
      <c r="H49" s="26"/>
    </row>
    <row r="50" spans="1:8" ht="15" customHeight="1" x14ac:dyDescent="0.25">
      <c r="A50" s="27"/>
      <c r="B50" s="27"/>
      <c r="C50" s="27"/>
      <c r="D50" s="27"/>
      <c r="E50" s="15"/>
      <c r="F50" s="26"/>
      <c r="G50" s="15"/>
      <c r="H50" s="26"/>
    </row>
    <row r="51" spans="1:8" ht="15" customHeight="1" x14ac:dyDescent="0.25">
      <c r="A51" s="27"/>
      <c r="B51" s="27"/>
      <c r="C51" s="27"/>
      <c r="D51" s="27"/>
      <c r="E51" s="15"/>
      <c r="F51" s="26"/>
      <c r="G51" s="15"/>
      <c r="H51" s="26"/>
    </row>
    <row r="52" spans="1:8" ht="15" customHeight="1" x14ac:dyDescent="0.25">
      <c r="A52" s="27"/>
      <c r="B52" s="27"/>
      <c r="C52" s="27"/>
      <c r="D52" s="27"/>
      <c r="E52" s="15"/>
      <c r="F52" s="26"/>
      <c r="G52" s="15"/>
      <c r="H52" s="26"/>
    </row>
    <row r="53" spans="1:8" ht="15" customHeight="1" x14ac:dyDescent="0.25">
      <c r="A53" s="27"/>
      <c r="B53" s="27"/>
      <c r="C53" s="27"/>
      <c r="D53" s="27"/>
      <c r="E53" s="15"/>
      <c r="F53" s="26"/>
      <c r="G53" s="15"/>
      <c r="H53" s="26"/>
    </row>
    <row r="54" spans="1:8" ht="15" customHeight="1" x14ac:dyDescent="0.25">
      <c r="A54" s="27"/>
      <c r="B54" s="27"/>
      <c r="C54" s="27"/>
      <c r="D54" s="27"/>
      <c r="E54" s="15"/>
      <c r="F54" s="26"/>
      <c r="G54" s="15"/>
      <c r="H54" s="26"/>
    </row>
    <row r="55" spans="1:8" ht="15" customHeight="1" x14ac:dyDescent="0.25">
      <c r="A55" s="27"/>
      <c r="B55" s="27"/>
      <c r="C55" s="27"/>
      <c r="D55" s="27"/>
      <c r="E55" s="15"/>
      <c r="F55" s="26"/>
      <c r="G55" s="15"/>
      <c r="H55" s="26"/>
    </row>
    <row r="56" spans="1:8" ht="15" customHeight="1" x14ac:dyDescent="0.25">
      <c r="A56" s="27"/>
      <c r="B56" s="27"/>
      <c r="C56" s="27"/>
      <c r="D56" s="27"/>
      <c r="E56" s="15"/>
      <c r="F56" s="26"/>
      <c r="G56" s="15"/>
      <c r="H56" s="26"/>
    </row>
    <row r="57" spans="1:8" ht="15" customHeight="1" x14ac:dyDescent="0.25">
      <c r="A57" s="27"/>
      <c r="B57" s="27"/>
      <c r="C57" s="27"/>
      <c r="D57" s="27"/>
      <c r="E57" s="15"/>
      <c r="F57" s="26"/>
      <c r="G57" s="15"/>
      <c r="H57" s="26"/>
    </row>
    <row r="58" spans="1:8" ht="15" customHeight="1" x14ac:dyDescent="0.25">
      <c r="A58" s="27"/>
      <c r="B58" s="27"/>
      <c r="C58" s="27"/>
      <c r="D58" s="27"/>
      <c r="E58" s="15"/>
      <c r="F58" s="26"/>
      <c r="G58" s="15"/>
      <c r="H58" s="26"/>
    </row>
    <row r="59" spans="1:8" ht="15" customHeight="1" x14ac:dyDescent="0.25">
      <c r="A59" s="27"/>
      <c r="B59" s="27"/>
      <c r="C59" s="27"/>
      <c r="D59" s="27"/>
      <c r="E59" s="15"/>
      <c r="F59" s="26"/>
      <c r="G59" s="15"/>
      <c r="H59" s="26"/>
    </row>
    <row r="60" spans="1:8" ht="15" customHeight="1" x14ac:dyDescent="0.25">
      <c r="A60" s="27"/>
      <c r="B60" s="27"/>
      <c r="C60" s="27"/>
      <c r="D60" s="27"/>
      <c r="E60" s="15"/>
      <c r="F60" s="26"/>
      <c r="G60" s="15"/>
      <c r="H60" s="26"/>
    </row>
    <row r="61" spans="1:8" ht="15" customHeight="1" x14ac:dyDescent="0.25">
      <c r="A61" s="27"/>
      <c r="B61" s="27"/>
      <c r="C61" s="27"/>
      <c r="D61" s="27"/>
      <c r="E61" s="15"/>
      <c r="F61" s="26"/>
      <c r="G61" s="15"/>
      <c r="H61" s="26"/>
    </row>
    <row r="62" spans="1:8" ht="15" customHeight="1" x14ac:dyDescent="0.25">
      <c r="A62" s="27"/>
      <c r="B62" s="27"/>
      <c r="C62" s="27"/>
      <c r="D62" s="27"/>
      <c r="E62" s="15"/>
      <c r="F62" s="26"/>
      <c r="G62" s="15"/>
      <c r="H62" s="26"/>
    </row>
    <row r="63" spans="1:8" ht="15" customHeight="1" x14ac:dyDescent="0.25">
      <c r="A63" s="27"/>
      <c r="B63" s="27"/>
      <c r="C63" s="27"/>
      <c r="D63" s="27"/>
      <c r="E63" s="15"/>
      <c r="F63" s="26"/>
      <c r="G63" s="15"/>
      <c r="H63" s="26"/>
    </row>
    <row r="64" spans="1:8" ht="15" customHeight="1" x14ac:dyDescent="0.25">
      <c r="A64" s="27"/>
      <c r="B64" s="27"/>
      <c r="C64" s="27"/>
      <c r="D64" s="27"/>
      <c r="E64" s="15"/>
      <c r="F64" s="26"/>
      <c r="G64" s="15"/>
      <c r="H64" s="26"/>
    </row>
    <row r="65" spans="1:8" ht="15" customHeight="1" x14ac:dyDescent="0.25">
      <c r="A65" s="27"/>
      <c r="B65" s="27"/>
      <c r="C65" s="27"/>
      <c r="D65" s="27"/>
      <c r="E65" s="15"/>
      <c r="F65" s="26"/>
      <c r="G65" s="15"/>
      <c r="H65" s="26"/>
    </row>
    <row r="66" spans="1:8" ht="15" customHeight="1" x14ac:dyDescent="0.25">
      <c r="A66" s="27"/>
      <c r="B66" s="27"/>
      <c r="C66" s="27"/>
      <c r="D66" s="27"/>
      <c r="E66" s="15"/>
      <c r="F66" s="26"/>
      <c r="G66" s="15"/>
      <c r="H66" s="26"/>
    </row>
    <row r="67" spans="1:8" ht="15" customHeight="1" x14ac:dyDescent="0.25">
      <c r="A67" s="27"/>
      <c r="B67" s="27"/>
      <c r="C67" s="27"/>
      <c r="D67" s="27"/>
      <c r="E67" s="15"/>
      <c r="F67" s="26"/>
      <c r="G67" s="15"/>
      <c r="H67" s="26"/>
    </row>
    <row r="68" spans="1:8" ht="15" customHeight="1" x14ac:dyDescent="0.25">
      <c r="A68" s="27"/>
      <c r="B68" s="27"/>
      <c r="C68" s="27"/>
      <c r="D68" s="27"/>
      <c r="E68" s="15"/>
      <c r="F68" s="26"/>
      <c r="G68" s="15"/>
      <c r="H68" s="26"/>
    </row>
    <row r="69" spans="1:8" ht="15" customHeight="1" x14ac:dyDescent="0.25">
      <c r="A69" s="27"/>
      <c r="B69" s="27"/>
      <c r="C69" s="27"/>
      <c r="D69" s="27"/>
      <c r="E69" s="15"/>
      <c r="F69" s="26"/>
      <c r="G69" s="15"/>
      <c r="H69" s="26"/>
    </row>
    <row r="70" spans="1:8" ht="15" customHeight="1" x14ac:dyDescent="0.25">
      <c r="A70" s="27"/>
      <c r="B70" s="27"/>
      <c r="C70" s="27"/>
      <c r="D70" s="27"/>
      <c r="E70" s="15"/>
      <c r="F70" s="26"/>
      <c r="G70" s="15"/>
      <c r="H70" s="26"/>
    </row>
    <row r="71" spans="1:8" ht="15" customHeight="1" x14ac:dyDescent="0.25">
      <c r="A71" s="27"/>
      <c r="B71" s="27"/>
      <c r="C71" s="27"/>
      <c r="D71" s="27"/>
      <c r="E71" s="15"/>
      <c r="F71" s="26"/>
      <c r="G71" s="15"/>
      <c r="H71" s="26"/>
    </row>
    <row r="72" spans="1:8" ht="15" customHeight="1" x14ac:dyDescent="0.25">
      <c r="A72" s="27"/>
      <c r="B72" s="27"/>
      <c r="C72" s="27"/>
      <c r="D72" s="27"/>
      <c r="E72" s="15"/>
      <c r="F72" s="26"/>
      <c r="G72" s="15"/>
      <c r="H72" s="26"/>
    </row>
    <row r="73" spans="1:8" ht="15" customHeight="1" x14ac:dyDescent="0.25">
      <c r="A73" s="27"/>
      <c r="B73" s="27"/>
      <c r="C73" s="27"/>
      <c r="D73" s="27"/>
      <c r="E73" s="15"/>
      <c r="F73" s="26"/>
      <c r="G73" s="15"/>
      <c r="H73" s="26"/>
    </row>
    <row r="74" spans="1:8" ht="15" customHeight="1" x14ac:dyDescent="0.25">
      <c r="A74" s="27"/>
      <c r="B74" s="27"/>
      <c r="C74" s="27"/>
      <c r="D74" s="27"/>
      <c r="E74" s="15"/>
      <c r="F74" s="26"/>
      <c r="G74" s="15"/>
      <c r="H74" s="26"/>
    </row>
    <row r="75" spans="1:8" ht="15" customHeight="1" x14ac:dyDescent="0.25">
      <c r="A75" s="27"/>
      <c r="B75" s="27"/>
      <c r="C75" s="27"/>
      <c r="D75" s="27"/>
      <c r="E75" s="15"/>
      <c r="F75" s="26"/>
      <c r="G75" s="15"/>
      <c r="H75" s="26"/>
    </row>
    <row r="76" spans="1:8" ht="15" customHeight="1" x14ac:dyDescent="0.25">
      <c r="A76" s="27"/>
      <c r="B76" s="27"/>
      <c r="C76" s="27"/>
      <c r="D76" s="27"/>
      <c r="E76" s="15"/>
      <c r="F76" s="26"/>
      <c r="G76" s="15"/>
      <c r="H76" s="26"/>
    </row>
    <row r="77" spans="1:8" ht="15" customHeight="1" x14ac:dyDescent="0.25">
      <c r="A77" s="27"/>
      <c r="B77" s="27"/>
      <c r="C77" s="27"/>
      <c r="D77" s="27"/>
      <c r="E77" s="15"/>
      <c r="F77" s="26"/>
      <c r="G77" s="15"/>
      <c r="H77" s="26"/>
    </row>
    <row r="78" spans="1:8" ht="15" customHeight="1" x14ac:dyDescent="0.25">
      <c r="A78" s="27"/>
      <c r="B78" s="27"/>
      <c r="C78" s="27"/>
      <c r="D78" s="27"/>
      <c r="E78" s="15"/>
      <c r="F78" s="26"/>
      <c r="G78" s="15"/>
      <c r="H78" s="26"/>
    </row>
    <row r="79" spans="1:8" ht="15" customHeight="1" x14ac:dyDescent="0.25">
      <c r="A79" s="27"/>
      <c r="B79" s="27"/>
      <c r="C79" s="27"/>
      <c r="D79" s="27"/>
      <c r="E79" s="15"/>
      <c r="F79" s="26"/>
      <c r="G79" s="15"/>
      <c r="H79" s="26"/>
    </row>
    <row r="80" spans="1:8" ht="15" customHeight="1" x14ac:dyDescent="0.25">
      <c r="A80" s="27"/>
      <c r="B80" s="27"/>
      <c r="C80" s="27"/>
      <c r="D80" s="27"/>
      <c r="E80" s="15"/>
      <c r="F80" s="26"/>
      <c r="G80" s="15"/>
      <c r="H80" s="26"/>
    </row>
    <row r="81" spans="1:8" ht="15" customHeight="1" x14ac:dyDescent="0.25">
      <c r="A81" s="27"/>
      <c r="B81" s="27"/>
      <c r="C81" s="27"/>
      <c r="D81" s="27"/>
      <c r="E81" s="15"/>
      <c r="F81" s="26"/>
      <c r="G81" s="15"/>
      <c r="H81" s="26"/>
    </row>
    <row r="82" spans="1:8" ht="15" customHeight="1" x14ac:dyDescent="0.25">
      <c r="A82" s="27"/>
      <c r="B82" s="27"/>
      <c r="C82" s="27"/>
      <c r="D82" s="27"/>
      <c r="E82" s="15"/>
      <c r="F82" s="26"/>
      <c r="G82" s="15"/>
      <c r="H82" s="26"/>
    </row>
    <row r="83" spans="1:8" ht="15" customHeight="1" x14ac:dyDescent="0.25">
      <c r="A83" s="27"/>
      <c r="B83" s="27"/>
      <c r="C83" s="27"/>
      <c r="D83" s="27"/>
      <c r="E83" s="15"/>
      <c r="F83" s="26"/>
      <c r="G83" s="15"/>
      <c r="H83" s="26"/>
    </row>
    <row r="84" spans="1:8" ht="15" customHeight="1" x14ac:dyDescent="0.25">
      <c r="A84" s="27"/>
      <c r="B84" s="27"/>
      <c r="C84" s="27"/>
      <c r="D84" s="27"/>
      <c r="E84" s="15"/>
      <c r="F84" s="26"/>
      <c r="G84" s="15"/>
      <c r="H84" s="26"/>
    </row>
    <row r="85" spans="1:8" ht="15" customHeight="1" x14ac:dyDescent="0.25">
      <c r="A85" s="27"/>
      <c r="B85" s="27"/>
      <c r="C85" s="27"/>
      <c r="D85" s="27"/>
      <c r="E85" s="15"/>
      <c r="F85" s="26"/>
      <c r="G85" s="15"/>
      <c r="H85" s="26"/>
    </row>
    <row r="86" spans="1:8" ht="15" customHeight="1" x14ac:dyDescent="0.25">
      <c r="A86" s="27"/>
      <c r="B86" s="27"/>
      <c r="C86" s="27"/>
      <c r="D86" s="27"/>
      <c r="E86" s="15"/>
      <c r="F86" s="26"/>
      <c r="G86" s="15"/>
      <c r="H86" s="26"/>
    </row>
    <row r="87" spans="1:8" ht="15" customHeight="1" x14ac:dyDescent="0.25">
      <c r="A87" s="27"/>
      <c r="B87" s="27"/>
      <c r="C87" s="27"/>
      <c r="D87" s="27"/>
      <c r="E87" s="15"/>
      <c r="F87" s="26"/>
      <c r="G87" s="15"/>
      <c r="H87" s="26"/>
    </row>
    <row r="88" spans="1:8" ht="15" customHeight="1" x14ac:dyDescent="0.25">
      <c r="A88" s="27"/>
      <c r="B88" s="27"/>
      <c r="C88" s="27"/>
      <c r="D88" s="27"/>
      <c r="E88" s="15"/>
      <c r="F88" s="26"/>
      <c r="G88" s="15"/>
      <c r="H88" s="26"/>
    </row>
    <row r="89" spans="1:8" ht="15" customHeight="1" x14ac:dyDescent="0.25">
      <c r="A89" s="27"/>
      <c r="B89" s="27"/>
      <c r="C89" s="27"/>
      <c r="D89" s="27"/>
      <c r="E89" s="15"/>
      <c r="F89" s="26"/>
      <c r="G89" s="15"/>
      <c r="H89" s="26"/>
    </row>
    <row r="90" spans="1:8" ht="15" customHeight="1" x14ac:dyDescent="0.25">
      <c r="A90" s="27"/>
      <c r="B90" s="27"/>
      <c r="C90" s="27"/>
      <c r="D90" s="27"/>
      <c r="E90" s="15"/>
      <c r="F90" s="26"/>
      <c r="G90" s="15"/>
      <c r="H90" s="26"/>
    </row>
    <row r="91" spans="1:8" ht="15" customHeight="1" x14ac:dyDescent="0.25">
      <c r="A91" s="27"/>
      <c r="B91" s="27"/>
      <c r="C91" s="27"/>
      <c r="D91" s="27"/>
      <c r="E91" s="15"/>
      <c r="F91" s="26"/>
      <c r="G91" s="15"/>
      <c r="H91" s="26"/>
    </row>
    <row r="92" spans="1:8" ht="15" customHeight="1" x14ac:dyDescent="0.25">
      <c r="A92" s="27"/>
      <c r="B92" s="27"/>
      <c r="C92" s="27"/>
      <c r="D92" s="27"/>
      <c r="E92" s="15"/>
      <c r="F92" s="26"/>
      <c r="G92" s="15"/>
      <c r="H92" s="26"/>
    </row>
    <row r="93" spans="1:8" ht="15" customHeight="1" x14ac:dyDescent="0.25">
      <c r="A93" s="27"/>
      <c r="B93" s="27"/>
      <c r="C93" s="27"/>
      <c r="D93" s="27"/>
      <c r="E93" s="15"/>
      <c r="F93" s="26"/>
      <c r="G93" s="15"/>
      <c r="H93" s="26"/>
    </row>
    <row r="94" spans="1:8" ht="15" customHeight="1" x14ac:dyDescent="0.25">
      <c r="A94" s="27"/>
      <c r="B94" s="27"/>
      <c r="C94" s="27"/>
      <c r="D94" s="27"/>
      <c r="E94" s="15"/>
      <c r="F94" s="26"/>
      <c r="G94" s="15"/>
      <c r="H94" s="26"/>
    </row>
    <row r="95" spans="1:8" ht="15" customHeight="1" x14ac:dyDescent="0.25">
      <c r="A95" s="27"/>
      <c r="B95" s="27"/>
      <c r="C95" s="27"/>
      <c r="D95" s="27"/>
      <c r="E95" s="15"/>
      <c r="F95" s="26"/>
      <c r="G95" s="15"/>
      <c r="H95" s="26"/>
    </row>
    <row r="96" spans="1:8" ht="15" customHeight="1" x14ac:dyDescent="0.25">
      <c r="A96" s="27"/>
      <c r="B96" s="27"/>
      <c r="C96" s="27"/>
      <c r="D96" s="27"/>
      <c r="E96" s="15"/>
      <c r="F96" s="26"/>
      <c r="G96" s="15"/>
      <c r="H96" s="26"/>
    </row>
    <row r="97" spans="1:8" ht="15" customHeight="1" x14ac:dyDescent="0.25">
      <c r="A97" s="27"/>
      <c r="B97" s="27"/>
      <c r="C97" s="27"/>
      <c r="D97" s="27"/>
      <c r="E97" s="15"/>
      <c r="F97" s="26"/>
      <c r="G97" s="15"/>
      <c r="H97" s="26"/>
    </row>
    <row r="98" spans="1:8" ht="15" customHeight="1" x14ac:dyDescent="0.25">
      <c r="A98" s="27"/>
      <c r="B98" s="27"/>
      <c r="C98" s="27"/>
      <c r="D98" s="27"/>
      <c r="E98" s="15"/>
      <c r="F98" s="26"/>
      <c r="G98" s="15"/>
      <c r="H98" s="26"/>
    </row>
    <row r="99" spans="1:8" ht="15" customHeight="1" x14ac:dyDescent="0.25">
      <c r="A99" s="27"/>
      <c r="B99" s="27"/>
      <c r="C99" s="27"/>
      <c r="D99" s="27"/>
      <c r="E99" s="15"/>
      <c r="F99" s="26"/>
      <c r="G99" s="15"/>
      <c r="H99" s="26"/>
    </row>
    <row r="100" spans="1:8" ht="15" customHeight="1" x14ac:dyDescent="0.25">
      <c r="A100" s="27"/>
      <c r="B100" s="27"/>
      <c r="C100" s="27"/>
      <c r="D100" s="27"/>
      <c r="E100" s="15"/>
      <c r="F100" s="26"/>
      <c r="G100" s="15"/>
      <c r="H100" s="26"/>
    </row>
    <row r="101" spans="1:8" ht="15" customHeight="1" x14ac:dyDescent="0.25">
      <c r="A101" s="27"/>
      <c r="B101" s="27"/>
      <c r="C101" s="27"/>
      <c r="D101" s="27"/>
      <c r="E101" s="15"/>
      <c r="F101" s="26"/>
      <c r="G101" s="15"/>
      <c r="H101" s="26"/>
    </row>
    <row r="102" spans="1:8" ht="15" customHeight="1" x14ac:dyDescent="0.25">
      <c r="A102" s="27"/>
      <c r="B102" s="27"/>
      <c r="C102" s="27"/>
      <c r="D102" s="27"/>
      <c r="E102" s="15"/>
      <c r="F102" s="26"/>
      <c r="G102" s="15"/>
      <c r="H102" s="26"/>
    </row>
    <row r="103" spans="1:8" ht="15" customHeight="1" x14ac:dyDescent="0.25">
      <c r="A103" s="27"/>
      <c r="B103" s="27"/>
      <c r="C103" s="27"/>
      <c r="D103" s="27"/>
      <c r="E103" s="15"/>
      <c r="F103" s="26"/>
      <c r="G103" s="15"/>
      <c r="H103" s="26"/>
    </row>
    <row r="104" spans="1:8" ht="15" customHeight="1" x14ac:dyDescent="0.25">
      <c r="A104" s="27"/>
      <c r="B104" s="27"/>
      <c r="C104" s="27"/>
      <c r="D104" s="27"/>
      <c r="E104" s="15"/>
      <c r="F104" s="26"/>
      <c r="G104" s="15"/>
      <c r="H104" s="26"/>
    </row>
    <row r="105" spans="1:8" ht="15" customHeight="1" x14ac:dyDescent="0.25">
      <c r="A105" s="27"/>
      <c r="B105" s="27"/>
      <c r="C105" s="27"/>
      <c r="D105" s="27"/>
      <c r="E105" s="15"/>
      <c r="F105" s="26"/>
      <c r="G105" s="15"/>
      <c r="H105" s="26"/>
    </row>
    <row r="106" spans="1:8" ht="15" customHeight="1" x14ac:dyDescent="0.25">
      <c r="A106" s="27"/>
      <c r="B106" s="27"/>
      <c r="C106" s="27"/>
      <c r="D106" s="27"/>
      <c r="E106" s="15"/>
      <c r="F106" s="26"/>
      <c r="G106" s="15"/>
      <c r="H106" s="26"/>
    </row>
    <row r="107" spans="1:8" ht="15" customHeight="1" x14ac:dyDescent="0.25">
      <c r="A107" s="27"/>
      <c r="B107" s="27"/>
      <c r="C107" s="27"/>
      <c r="D107" s="27"/>
      <c r="E107" s="15"/>
      <c r="F107" s="26"/>
      <c r="G107" s="15"/>
      <c r="H107" s="26"/>
    </row>
    <row r="108" spans="1:8" ht="15" customHeight="1" x14ac:dyDescent="0.25">
      <c r="A108" s="27"/>
      <c r="B108" s="27"/>
      <c r="C108" s="27"/>
      <c r="D108" s="27"/>
      <c r="E108" s="15"/>
      <c r="F108" s="26"/>
      <c r="G108" s="15"/>
      <c r="H108" s="26"/>
    </row>
    <row r="109" spans="1:8" ht="15" customHeight="1" x14ac:dyDescent="0.25">
      <c r="A109" s="27"/>
      <c r="B109" s="27"/>
      <c r="C109" s="27"/>
      <c r="D109" s="27"/>
      <c r="E109" s="15"/>
      <c r="F109" s="26"/>
      <c r="G109" s="15"/>
      <c r="H109" s="26"/>
    </row>
    <row r="110" spans="1:8" ht="15" customHeight="1" x14ac:dyDescent="0.25">
      <c r="A110" s="27"/>
      <c r="B110" s="27"/>
      <c r="C110" s="27"/>
      <c r="D110" s="27"/>
      <c r="E110" s="15"/>
      <c r="F110" s="26"/>
      <c r="G110" s="15"/>
      <c r="H110" s="26"/>
    </row>
    <row r="111" spans="1:8" ht="15" customHeight="1" x14ac:dyDescent="0.25">
      <c r="A111" s="27"/>
      <c r="B111" s="27"/>
      <c r="C111" s="27"/>
      <c r="D111" s="27"/>
      <c r="E111" s="15"/>
      <c r="F111" s="26"/>
      <c r="G111" s="15"/>
      <c r="H111" s="26"/>
    </row>
    <row r="112" spans="1:8" ht="15" customHeight="1" x14ac:dyDescent="0.25">
      <c r="A112" s="27"/>
      <c r="B112" s="27"/>
      <c r="C112" s="27"/>
      <c r="D112" s="27"/>
      <c r="E112" s="15"/>
      <c r="F112" s="26"/>
      <c r="G112" s="15"/>
      <c r="H112" s="26"/>
    </row>
    <row r="113" spans="1:8" ht="15" customHeight="1" x14ac:dyDescent="0.25">
      <c r="A113" s="27"/>
      <c r="B113" s="27"/>
      <c r="C113" s="27"/>
      <c r="D113" s="27"/>
      <c r="E113" s="15"/>
      <c r="F113" s="26"/>
      <c r="G113" s="15"/>
      <c r="H113" s="26"/>
    </row>
    <row r="114" spans="1:8" ht="15" customHeight="1" x14ac:dyDescent="0.25">
      <c r="A114" s="27"/>
      <c r="B114" s="27"/>
      <c r="C114" s="27"/>
      <c r="D114" s="27"/>
      <c r="E114" s="15"/>
      <c r="F114" s="26"/>
      <c r="G114" s="15"/>
      <c r="H114" s="26"/>
    </row>
    <row r="115" spans="1:8" ht="15" customHeight="1" x14ac:dyDescent="0.25">
      <c r="A115" s="27"/>
      <c r="B115" s="27"/>
      <c r="C115" s="27"/>
      <c r="D115" s="27"/>
      <c r="E115" s="15"/>
      <c r="F115" s="26"/>
      <c r="G115" s="15"/>
      <c r="H115" s="26"/>
    </row>
    <row r="116" spans="1:8" ht="15" customHeight="1" x14ac:dyDescent="0.25">
      <c r="A116" s="27"/>
      <c r="B116" s="27"/>
      <c r="C116" s="27"/>
      <c r="D116" s="27"/>
      <c r="E116" s="15"/>
      <c r="F116" s="26"/>
      <c r="G116" s="15"/>
      <c r="H116" s="26"/>
    </row>
    <row r="117" spans="1:8" ht="15" customHeight="1" x14ac:dyDescent="0.25">
      <c r="A117" s="27"/>
      <c r="B117" s="27"/>
      <c r="C117" s="27"/>
      <c r="D117" s="27"/>
      <c r="E117" s="15"/>
      <c r="F117" s="26"/>
      <c r="G117" s="15"/>
      <c r="H117" s="26"/>
    </row>
    <row r="118" spans="1:8" ht="15" customHeight="1" x14ac:dyDescent="0.25">
      <c r="A118" s="27"/>
      <c r="B118" s="27"/>
      <c r="C118" s="27"/>
      <c r="D118" s="27"/>
      <c r="E118" s="15"/>
      <c r="F118" s="26"/>
      <c r="G118" s="15"/>
      <c r="H118" s="26"/>
    </row>
    <row r="119" spans="1:8" ht="15" customHeight="1" x14ac:dyDescent="0.25">
      <c r="A119" s="27"/>
      <c r="B119" s="27"/>
      <c r="C119" s="27"/>
      <c r="D119" s="27"/>
      <c r="E119" s="15"/>
      <c r="F119" s="26"/>
      <c r="G119" s="15"/>
      <c r="H119" s="26"/>
    </row>
    <row r="120" spans="1:8" ht="15" customHeight="1" x14ac:dyDescent="0.25">
      <c r="A120" s="27"/>
      <c r="B120" s="27"/>
      <c r="C120" s="27"/>
      <c r="D120" s="27"/>
      <c r="E120" s="15"/>
      <c r="F120" s="26"/>
      <c r="G120" s="15"/>
      <c r="H120" s="26"/>
    </row>
    <row r="121" spans="1:8" ht="15" customHeight="1" x14ac:dyDescent="0.25">
      <c r="A121" s="27"/>
      <c r="B121" s="27"/>
      <c r="C121" s="27"/>
      <c r="D121" s="27"/>
      <c r="E121" s="15"/>
      <c r="F121" s="26"/>
      <c r="G121" s="15"/>
      <c r="H121" s="26"/>
    </row>
    <row r="122" spans="1:8" ht="15" customHeight="1" x14ac:dyDescent="0.25">
      <c r="A122" s="27"/>
      <c r="B122" s="27"/>
      <c r="C122" s="27"/>
      <c r="D122" s="27"/>
      <c r="E122" s="15"/>
      <c r="F122" s="26"/>
      <c r="G122" s="15"/>
      <c r="H122" s="26"/>
    </row>
    <row r="123" spans="1:8" ht="15" customHeight="1" x14ac:dyDescent="0.25">
      <c r="A123" s="27"/>
      <c r="B123" s="27"/>
      <c r="C123" s="27"/>
      <c r="D123" s="27"/>
      <c r="E123" s="15"/>
      <c r="F123" s="26"/>
      <c r="G123" s="15"/>
      <c r="H123" s="26"/>
    </row>
    <row r="124" spans="1:8" ht="15" customHeight="1" x14ac:dyDescent="0.25">
      <c r="A124" s="27"/>
      <c r="B124" s="27"/>
      <c r="C124" s="27"/>
      <c r="D124" s="27"/>
      <c r="E124" s="15"/>
      <c r="F124" s="26"/>
      <c r="G124" s="15"/>
      <c r="H124" s="26"/>
    </row>
    <row r="125" spans="1:8" ht="15" customHeight="1" x14ac:dyDescent="0.25">
      <c r="A125" s="27"/>
      <c r="B125" s="27"/>
      <c r="C125" s="27"/>
      <c r="D125" s="27"/>
      <c r="E125" s="15"/>
      <c r="F125" s="26"/>
      <c r="G125" s="15"/>
      <c r="H125" s="26"/>
    </row>
    <row r="126" spans="1:8" ht="15" customHeight="1" x14ac:dyDescent="0.25">
      <c r="A126" s="27"/>
      <c r="B126" s="27"/>
      <c r="C126" s="27"/>
      <c r="D126" s="27"/>
      <c r="E126" s="15"/>
      <c r="F126" s="26"/>
      <c r="G126" s="15"/>
      <c r="H126" s="26"/>
    </row>
    <row r="127" spans="1:8" ht="15" customHeight="1" x14ac:dyDescent="0.25">
      <c r="A127" s="27"/>
      <c r="B127" s="27"/>
      <c r="C127" s="27"/>
      <c r="D127" s="27"/>
      <c r="E127" s="15"/>
      <c r="F127" s="26"/>
      <c r="G127" s="15"/>
      <c r="H127" s="26"/>
    </row>
    <row r="128" spans="1:8" ht="15" customHeight="1" x14ac:dyDescent="0.25">
      <c r="A128" s="27"/>
      <c r="B128" s="27"/>
      <c r="C128" s="27"/>
      <c r="D128" s="27"/>
      <c r="E128" s="15"/>
      <c r="F128" s="26"/>
      <c r="G128" s="15"/>
      <c r="H128" s="26"/>
    </row>
    <row r="129" spans="1:8" ht="15" customHeight="1" x14ac:dyDescent="0.25">
      <c r="A129" s="27"/>
      <c r="B129" s="27"/>
      <c r="C129" s="27"/>
      <c r="D129" s="27"/>
      <c r="E129" s="15"/>
      <c r="F129" s="26"/>
      <c r="G129" s="15"/>
      <c r="H129" s="26"/>
    </row>
    <row r="130" spans="1:8" ht="15" customHeight="1" x14ac:dyDescent="0.25">
      <c r="A130" s="27"/>
      <c r="B130" s="27"/>
      <c r="C130" s="27"/>
      <c r="D130" s="27"/>
      <c r="E130" s="15"/>
      <c r="F130" s="26"/>
      <c r="G130" s="15"/>
      <c r="H130" s="26"/>
    </row>
    <row r="131" spans="1:8" ht="15" customHeight="1" x14ac:dyDescent="0.25">
      <c r="A131" s="27"/>
      <c r="B131" s="27"/>
      <c r="C131" s="27"/>
      <c r="D131" s="27"/>
      <c r="E131" s="15"/>
      <c r="F131" s="26"/>
      <c r="G131" s="15"/>
      <c r="H131" s="26"/>
    </row>
    <row r="132" spans="1:8" ht="15" customHeight="1" x14ac:dyDescent="0.25">
      <c r="A132" s="27"/>
      <c r="B132" s="27"/>
      <c r="C132" s="27"/>
      <c r="D132" s="27"/>
      <c r="E132" s="15"/>
      <c r="F132" s="26"/>
      <c r="G132" s="15"/>
      <c r="H132" s="26"/>
    </row>
    <row r="133" spans="1:8" ht="15" customHeight="1" x14ac:dyDescent="0.25">
      <c r="A133" s="27"/>
      <c r="B133" s="27"/>
      <c r="C133" s="27"/>
      <c r="D133" s="27"/>
      <c r="E133" s="15"/>
      <c r="F133" s="26"/>
      <c r="G133" s="15"/>
      <c r="H133" s="26"/>
    </row>
    <row r="134" spans="1:8" ht="15" customHeight="1" x14ac:dyDescent="0.25">
      <c r="A134" s="27"/>
      <c r="B134" s="27"/>
      <c r="C134" s="27"/>
      <c r="D134" s="27"/>
      <c r="E134" s="15"/>
      <c r="F134" s="26"/>
      <c r="G134" s="15"/>
      <c r="H134" s="26"/>
    </row>
    <row r="135" spans="1:8" ht="15" customHeight="1" x14ac:dyDescent="0.25">
      <c r="A135" s="27"/>
      <c r="B135" s="27"/>
      <c r="C135" s="27"/>
      <c r="D135" s="27"/>
      <c r="E135" s="15"/>
      <c r="F135" s="26"/>
      <c r="G135" s="15"/>
      <c r="H135" s="26"/>
    </row>
    <row r="136" spans="1:8" ht="15" customHeight="1" x14ac:dyDescent="0.25">
      <c r="A136" s="27"/>
      <c r="B136" s="27"/>
      <c r="C136" s="27"/>
      <c r="D136" s="27"/>
      <c r="E136" s="15"/>
      <c r="F136" s="26"/>
      <c r="G136" s="15"/>
      <c r="H136" s="26"/>
    </row>
    <row r="137" spans="1:8" ht="15" customHeight="1" x14ac:dyDescent="0.25">
      <c r="A137" s="27"/>
      <c r="B137" s="27"/>
      <c r="C137" s="27"/>
      <c r="D137" s="27"/>
      <c r="E137" s="15"/>
      <c r="F137" s="26"/>
      <c r="G137" s="15"/>
      <c r="H137" s="26"/>
    </row>
    <row r="138" spans="1:8" ht="15" customHeight="1" x14ac:dyDescent="0.25">
      <c r="A138" s="27"/>
      <c r="B138" s="27"/>
      <c r="C138" s="27"/>
      <c r="D138" s="27"/>
      <c r="E138" s="15"/>
      <c r="F138" s="26"/>
      <c r="G138" s="15"/>
      <c r="H138" s="26"/>
    </row>
    <row r="139" spans="1:8" ht="15" customHeight="1" x14ac:dyDescent="0.25">
      <c r="A139" s="27"/>
      <c r="B139" s="27"/>
      <c r="C139" s="27"/>
      <c r="D139" s="27"/>
      <c r="E139" s="15"/>
      <c r="F139" s="26"/>
      <c r="G139" s="15"/>
      <c r="H139" s="26"/>
    </row>
    <row r="140" spans="1:8" ht="15" customHeight="1" x14ac:dyDescent="0.25">
      <c r="A140" s="27"/>
      <c r="B140" s="27"/>
      <c r="C140" s="27"/>
      <c r="D140" s="27"/>
      <c r="E140" s="15"/>
      <c r="F140" s="26"/>
      <c r="G140" s="15"/>
      <c r="H140" s="26"/>
    </row>
    <row r="141" spans="1:8" ht="15" customHeight="1" x14ac:dyDescent="0.25">
      <c r="A141" s="27"/>
      <c r="B141" s="27"/>
      <c r="C141" s="27"/>
      <c r="D141" s="27"/>
      <c r="E141" s="15"/>
      <c r="F141" s="26"/>
      <c r="G141" s="15"/>
      <c r="H141" s="26"/>
    </row>
    <row r="142" spans="1:8" ht="15" customHeight="1" x14ac:dyDescent="0.25">
      <c r="A142" s="27"/>
      <c r="B142" s="27"/>
      <c r="C142" s="27"/>
      <c r="D142" s="27"/>
      <c r="E142" s="15"/>
      <c r="F142" s="26"/>
      <c r="G142" s="15"/>
      <c r="H142" s="26"/>
    </row>
    <row r="143" spans="1:8" ht="15" customHeight="1" x14ac:dyDescent="0.25">
      <c r="A143" s="27"/>
      <c r="B143" s="27"/>
      <c r="C143" s="27"/>
      <c r="D143" s="27"/>
      <c r="E143" s="15"/>
      <c r="F143" s="26"/>
      <c r="G143" s="15"/>
      <c r="H143" s="26"/>
    </row>
    <row r="144" spans="1:8" ht="15" customHeight="1" x14ac:dyDescent="0.25">
      <c r="A144" s="27"/>
      <c r="B144" s="27"/>
      <c r="C144" s="27"/>
      <c r="D144" s="27"/>
      <c r="E144" s="15"/>
      <c r="F144" s="26"/>
      <c r="G144" s="15"/>
      <c r="H144" s="26"/>
    </row>
    <row r="145" spans="1:8" ht="15" customHeight="1" x14ac:dyDescent="0.25">
      <c r="A145" s="27"/>
      <c r="B145" s="27"/>
      <c r="C145" s="27"/>
      <c r="D145" s="27"/>
      <c r="E145" s="15"/>
      <c r="F145" s="26"/>
      <c r="G145" s="15"/>
      <c r="H145" s="26"/>
    </row>
    <row r="146" spans="1:8" ht="15" customHeight="1" x14ac:dyDescent="0.25">
      <c r="A146" s="27"/>
      <c r="B146" s="27"/>
      <c r="C146" s="27"/>
      <c r="D146" s="27"/>
      <c r="E146" s="15"/>
      <c r="F146" s="26"/>
      <c r="G146" s="15"/>
      <c r="H146" s="26"/>
    </row>
    <row r="147" spans="1:8" ht="15" customHeight="1" x14ac:dyDescent="0.25">
      <c r="A147" s="27"/>
      <c r="B147" s="27"/>
      <c r="C147" s="27"/>
      <c r="D147" s="27"/>
      <c r="E147" s="15"/>
      <c r="F147" s="26"/>
      <c r="G147" s="15"/>
      <c r="H147" s="26"/>
    </row>
    <row r="148" spans="1:8" ht="15" customHeight="1" x14ac:dyDescent="0.25">
      <c r="A148" s="27"/>
      <c r="B148" s="27"/>
      <c r="C148" s="27"/>
      <c r="D148" s="27"/>
      <c r="E148" s="15"/>
      <c r="F148" s="26"/>
      <c r="G148" s="15"/>
      <c r="H148" s="26"/>
    </row>
    <row r="149" spans="1:8" ht="15" customHeight="1" x14ac:dyDescent="0.25">
      <c r="A149" s="27"/>
      <c r="B149" s="27"/>
      <c r="C149" s="27"/>
      <c r="D149" s="27"/>
      <c r="E149" s="15"/>
      <c r="F149" s="26"/>
      <c r="G149" s="15"/>
      <c r="H149" s="26"/>
    </row>
    <row r="150" spans="1:8" ht="15" customHeight="1" x14ac:dyDescent="0.25">
      <c r="A150" s="27"/>
      <c r="B150" s="27"/>
      <c r="C150" s="27"/>
      <c r="D150" s="27"/>
      <c r="E150" s="15"/>
      <c r="F150" s="26"/>
      <c r="G150" s="15"/>
      <c r="H150" s="26"/>
    </row>
    <row r="151" spans="1:8" ht="15" customHeight="1" x14ac:dyDescent="0.25">
      <c r="A151" s="27"/>
      <c r="B151" s="27"/>
      <c r="C151" s="27"/>
      <c r="D151" s="27"/>
      <c r="E151" s="15"/>
      <c r="F151" s="26"/>
      <c r="G151" s="15"/>
      <c r="H151" s="26"/>
    </row>
    <row r="152" spans="1:8" ht="15" customHeight="1" x14ac:dyDescent="0.25">
      <c r="A152" s="27"/>
      <c r="B152" s="27"/>
      <c r="C152" s="27"/>
      <c r="D152" s="27"/>
      <c r="E152" s="15"/>
      <c r="F152" s="26"/>
      <c r="G152" s="15"/>
      <c r="H152" s="26"/>
    </row>
    <row r="153" spans="1:8" ht="15" customHeight="1" x14ac:dyDescent="0.25">
      <c r="A153" s="27"/>
      <c r="B153" s="27"/>
      <c r="C153" s="27"/>
      <c r="D153" s="27"/>
      <c r="E153" s="15"/>
      <c r="F153" s="26"/>
      <c r="G153" s="15"/>
      <c r="H153" s="26"/>
    </row>
    <row r="154" spans="1:8" ht="15" customHeight="1" x14ac:dyDescent="0.25">
      <c r="A154" s="27"/>
      <c r="B154" s="27"/>
      <c r="C154" s="27"/>
      <c r="D154" s="27"/>
      <c r="E154" s="15"/>
      <c r="F154" s="26"/>
      <c r="G154" s="15"/>
      <c r="H154" s="26"/>
    </row>
    <row r="155" spans="1:8" ht="15" customHeight="1" x14ac:dyDescent="0.25">
      <c r="A155" s="27"/>
      <c r="B155" s="27"/>
      <c r="C155" s="27"/>
      <c r="D155" s="27"/>
      <c r="E155" s="15"/>
      <c r="F155" s="26"/>
      <c r="G155" s="15"/>
      <c r="H155" s="26"/>
    </row>
    <row r="156" spans="1:8" ht="15" customHeight="1" x14ac:dyDescent="0.25">
      <c r="A156" s="27"/>
      <c r="B156" s="27"/>
      <c r="C156" s="27"/>
      <c r="D156" s="27"/>
      <c r="E156" s="15"/>
      <c r="F156" s="26"/>
      <c r="G156" s="15"/>
      <c r="H156" s="26"/>
    </row>
    <row r="157" spans="1:8" ht="15" customHeight="1" x14ac:dyDescent="0.25">
      <c r="A157" s="27"/>
      <c r="B157" s="27"/>
      <c r="C157" s="27"/>
      <c r="D157" s="27"/>
      <c r="E157" s="15"/>
      <c r="F157" s="26"/>
      <c r="G157" s="15"/>
      <c r="H157" s="26"/>
    </row>
    <row r="158" spans="1:8" ht="15" customHeight="1" x14ac:dyDescent="0.25">
      <c r="A158" s="27"/>
      <c r="B158" s="27"/>
      <c r="C158" s="27"/>
      <c r="D158" s="27"/>
      <c r="E158" s="15"/>
      <c r="F158" s="26"/>
      <c r="G158" s="15"/>
      <c r="H158" s="26"/>
    </row>
    <row r="159" spans="1:8" ht="15" customHeight="1" x14ac:dyDescent="0.25">
      <c r="A159" s="27"/>
      <c r="B159" s="27"/>
      <c r="C159" s="27"/>
      <c r="D159" s="27"/>
      <c r="E159" s="15"/>
      <c r="F159" s="26"/>
      <c r="G159" s="15"/>
      <c r="H159" s="26"/>
    </row>
    <row r="160" spans="1:8" ht="15" customHeight="1" x14ac:dyDescent="0.25">
      <c r="A160" s="27"/>
      <c r="B160" s="27"/>
      <c r="C160" s="27"/>
      <c r="D160" s="27"/>
      <c r="E160" s="15"/>
      <c r="F160" s="26"/>
      <c r="G160" s="15"/>
      <c r="H160" s="26"/>
    </row>
    <row r="161" spans="1:8" ht="15" customHeight="1" x14ac:dyDescent="0.25">
      <c r="A161" s="27"/>
      <c r="B161" s="27"/>
      <c r="C161" s="27"/>
      <c r="D161" s="27"/>
      <c r="E161" s="15"/>
      <c r="F161" s="26"/>
      <c r="G161" s="15"/>
      <c r="H161" s="26"/>
    </row>
    <row r="162" spans="1:8" ht="15" customHeight="1" x14ac:dyDescent="0.25">
      <c r="A162" s="27"/>
      <c r="B162" s="27"/>
      <c r="C162" s="27"/>
      <c r="D162" s="27"/>
      <c r="E162" s="15"/>
      <c r="F162" s="26"/>
      <c r="G162" s="15"/>
      <c r="H162" s="26"/>
    </row>
    <row r="163" spans="1:8" ht="15" customHeight="1" x14ac:dyDescent="0.25">
      <c r="A163" s="27"/>
      <c r="B163" s="27"/>
      <c r="C163" s="27"/>
      <c r="D163" s="27"/>
      <c r="E163" s="15"/>
      <c r="F163" s="26"/>
      <c r="G163" s="15"/>
      <c r="H163" s="26"/>
    </row>
    <row r="164" spans="1:8" ht="15" customHeight="1" x14ac:dyDescent="0.25">
      <c r="A164" s="27"/>
      <c r="B164" s="27"/>
      <c r="C164" s="27"/>
      <c r="D164" s="27"/>
      <c r="E164" s="15"/>
      <c r="F164" s="26"/>
      <c r="G164" s="15"/>
      <c r="H164" s="26"/>
    </row>
    <row r="165" spans="1:8" ht="15" customHeight="1" x14ac:dyDescent="0.25">
      <c r="A165" s="27"/>
      <c r="B165" s="27"/>
      <c r="C165" s="27"/>
      <c r="D165" s="27"/>
      <c r="E165" s="15"/>
      <c r="F165" s="26"/>
      <c r="G165" s="15"/>
      <c r="H165" s="26"/>
    </row>
    <row r="166" spans="1:8" ht="15" customHeight="1" x14ac:dyDescent="0.25">
      <c r="A166" s="27"/>
      <c r="B166" s="27"/>
      <c r="C166" s="27"/>
      <c r="D166" s="27"/>
      <c r="E166" s="15"/>
      <c r="F166" s="26"/>
      <c r="G166" s="15"/>
      <c r="H166" s="26"/>
    </row>
    <row r="167" spans="1:8" ht="15" customHeight="1" x14ac:dyDescent="0.25">
      <c r="A167" s="27"/>
      <c r="B167" s="27"/>
      <c r="C167" s="27"/>
      <c r="D167" s="27"/>
      <c r="E167" s="15"/>
      <c r="F167" s="26"/>
      <c r="G167" s="15"/>
      <c r="H167" s="26"/>
    </row>
    <row r="168" spans="1:8" ht="15" customHeight="1" x14ac:dyDescent="0.25">
      <c r="A168" s="27"/>
      <c r="B168" s="27"/>
      <c r="C168" s="27"/>
      <c r="D168" s="27"/>
      <c r="E168" s="15"/>
      <c r="F168" s="26"/>
      <c r="G168" s="15"/>
      <c r="H168" s="26"/>
    </row>
    <row r="169" spans="1:8" ht="15" customHeight="1" x14ac:dyDescent="0.25">
      <c r="A169" s="27"/>
      <c r="B169" s="27"/>
      <c r="C169" s="27"/>
      <c r="D169" s="27"/>
      <c r="E169" s="15"/>
      <c r="F169" s="26"/>
      <c r="G169" s="15"/>
      <c r="H169" s="26"/>
    </row>
    <row r="170" spans="1:8" ht="15" customHeight="1" x14ac:dyDescent="0.25">
      <c r="A170" s="27"/>
      <c r="B170" s="27"/>
      <c r="C170" s="27"/>
      <c r="D170" s="27"/>
      <c r="E170" s="15"/>
      <c r="F170" s="26"/>
      <c r="G170" s="15"/>
      <c r="H170" s="26"/>
    </row>
    <row r="171" spans="1:8" ht="15" customHeight="1" x14ac:dyDescent="0.25">
      <c r="A171" s="27"/>
      <c r="B171" s="27"/>
      <c r="C171" s="27"/>
      <c r="D171" s="27"/>
      <c r="E171" s="15"/>
      <c r="F171" s="26"/>
      <c r="G171" s="15"/>
      <c r="H171" s="26"/>
    </row>
    <row r="172" spans="1:8" ht="15" customHeight="1" x14ac:dyDescent="0.25">
      <c r="A172" s="27"/>
      <c r="B172" s="27"/>
      <c r="C172" s="27"/>
      <c r="D172" s="27"/>
      <c r="E172" s="15"/>
      <c r="F172" s="26"/>
      <c r="G172" s="15"/>
      <c r="H172" s="26"/>
    </row>
    <row r="173" spans="1:8" ht="15" customHeight="1" x14ac:dyDescent="0.25">
      <c r="A173" s="27"/>
      <c r="B173" s="27"/>
      <c r="C173" s="27"/>
      <c r="D173" s="27"/>
      <c r="E173" s="15"/>
      <c r="F173" s="26"/>
      <c r="G173" s="15"/>
      <c r="H173" s="26"/>
    </row>
    <row r="174" spans="1:8" ht="15" customHeight="1" x14ac:dyDescent="0.25">
      <c r="A174" s="27"/>
      <c r="B174" s="27"/>
      <c r="C174" s="27"/>
      <c r="D174" s="27"/>
      <c r="E174" s="15"/>
      <c r="F174" s="26"/>
      <c r="G174" s="15"/>
      <c r="H174" s="26"/>
    </row>
    <row r="175" spans="1:8" ht="15" customHeight="1" x14ac:dyDescent="0.25">
      <c r="A175" s="27"/>
      <c r="B175" s="27"/>
      <c r="C175" s="27"/>
      <c r="D175" s="27"/>
      <c r="E175" s="15"/>
      <c r="F175" s="26"/>
      <c r="G175" s="15"/>
      <c r="H175" s="26"/>
    </row>
    <row r="176" spans="1:8" ht="15" customHeight="1" x14ac:dyDescent="0.25">
      <c r="A176" s="27"/>
      <c r="B176" s="27"/>
      <c r="C176" s="27"/>
      <c r="D176" s="27"/>
      <c r="E176" s="15"/>
      <c r="F176" s="26"/>
      <c r="G176" s="15"/>
      <c r="H176" s="26"/>
    </row>
    <row r="177" spans="1:8" ht="15" customHeight="1" x14ac:dyDescent="0.25">
      <c r="A177" s="27"/>
      <c r="B177" s="27"/>
      <c r="C177" s="27"/>
      <c r="D177" s="27"/>
      <c r="E177" s="15"/>
      <c r="F177" s="26"/>
      <c r="G177" s="15"/>
      <c r="H177" s="26"/>
    </row>
    <row r="178" spans="1:8" ht="15" customHeight="1" x14ac:dyDescent="0.25">
      <c r="A178" s="27"/>
      <c r="B178" s="27"/>
      <c r="C178" s="27"/>
      <c r="D178" s="27"/>
      <c r="E178" s="15"/>
      <c r="F178" s="26"/>
      <c r="G178" s="15"/>
      <c r="H178" s="26"/>
    </row>
    <row r="179" spans="1:8" ht="15" customHeight="1" x14ac:dyDescent="0.25">
      <c r="A179" s="27"/>
      <c r="B179" s="27"/>
      <c r="C179" s="27"/>
      <c r="D179" s="27"/>
      <c r="E179" s="15"/>
      <c r="F179" s="26"/>
      <c r="G179" s="15"/>
      <c r="H179" s="26"/>
    </row>
    <row r="180" spans="1:8" ht="15" customHeight="1" x14ac:dyDescent="0.25">
      <c r="A180" s="27"/>
      <c r="B180" s="27"/>
      <c r="C180" s="27"/>
      <c r="D180" s="27"/>
      <c r="E180" s="15"/>
      <c r="F180" s="26"/>
      <c r="G180" s="15"/>
      <c r="H180" s="26"/>
    </row>
    <row r="181" spans="1:8" ht="15" customHeight="1" x14ac:dyDescent="0.25">
      <c r="A181" s="27"/>
      <c r="B181" s="27"/>
      <c r="C181" s="27"/>
      <c r="D181" s="27"/>
      <c r="E181" s="15"/>
      <c r="F181" s="26"/>
      <c r="G181" s="15"/>
      <c r="H181" s="26"/>
    </row>
    <row r="182" spans="1:8" ht="15" customHeight="1" x14ac:dyDescent="0.25">
      <c r="A182" s="27"/>
      <c r="B182" s="27"/>
      <c r="C182" s="27"/>
      <c r="D182" s="27"/>
      <c r="E182" s="15"/>
      <c r="F182" s="26"/>
      <c r="G182" s="15"/>
      <c r="H182" s="26"/>
    </row>
    <row r="183" spans="1:8" ht="15" customHeight="1" x14ac:dyDescent="0.25">
      <c r="A183" s="27"/>
      <c r="B183" s="27"/>
      <c r="C183" s="27"/>
      <c r="D183" s="27"/>
      <c r="E183" s="15"/>
      <c r="F183" s="26"/>
      <c r="G183" s="15"/>
      <c r="H183" s="26"/>
    </row>
    <row r="184" spans="1:8" ht="15" customHeight="1" x14ac:dyDescent="0.25">
      <c r="A184" s="27"/>
      <c r="B184" s="27"/>
      <c r="C184" s="27"/>
      <c r="D184" s="27"/>
      <c r="E184" s="15"/>
      <c r="F184" s="26"/>
      <c r="G184" s="15"/>
      <c r="H184" s="26"/>
    </row>
    <row r="185" spans="1:8" ht="15" customHeight="1" x14ac:dyDescent="0.25">
      <c r="A185" s="27"/>
      <c r="B185" s="27"/>
      <c r="C185" s="27"/>
      <c r="D185" s="27"/>
      <c r="E185" s="15"/>
      <c r="F185" s="26"/>
      <c r="G185" s="15"/>
      <c r="H185" s="26"/>
    </row>
    <row r="186" spans="1:8" ht="15" customHeight="1" x14ac:dyDescent="0.25">
      <c r="A186" s="27"/>
      <c r="B186" s="27"/>
      <c r="C186" s="27"/>
      <c r="D186" s="27"/>
      <c r="E186" s="15"/>
      <c r="F186" s="26"/>
      <c r="G186" s="15"/>
      <c r="H186" s="26"/>
    </row>
    <row r="187" spans="1:8" ht="15" customHeight="1" x14ac:dyDescent="0.25">
      <c r="A187" s="27"/>
      <c r="B187" s="27"/>
      <c r="C187" s="27"/>
      <c r="D187" s="27"/>
      <c r="E187" s="15"/>
      <c r="F187" s="26"/>
      <c r="G187" s="15"/>
      <c r="H187" s="26"/>
    </row>
    <row r="188" spans="1:8" ht="15" customHeight="1" x14ac:dyDescent="0.25">
      <c r="A188" s="27"/>
      <c r="B188" s="27"/>
      <c r="C188" s="27"/>
      <c r="D188" s="27"/>
      <c r="E188" s="15"/>
      <c r="F188" s="26"/>
      <c r="G188" s="15"/>
      <c r="H188" s="26"/>
    </row>
    <row r="189" spans="1:8" ht="15" customHeight="1" x14ac:dyDescent="0.25">
      <c r="A189" s="27"/>
      <c r="B189" s="27"/>
      <c r="C189" s="27"/>
      <c r="D189" s="27"/>
      <c r="E189" s="15"/>
      <c r="F189" s="26"/>
      <c r="G189" s="15"/>
      <c r="H189" s="26"/>
    </row>
    <row r="190" spans="1:8" ht="15" customHeight="1" x14ac:dyDescent="0.25">
      <c r="A190" s="27"/>
      <c r="B190" s="27"/>
      <c r="C190" s="27"/>
      <c r="D190" s="27"/>
      <c r="E190" s="15"/>
      <c r="F190" s="26"/>
      <c r="G190" s="15"/>
      <c r="H190" s="26"/>
    </row>
    <row r="191" spans="1:8" ht="15" customHeight="1" x14ac:dyDescent="0.25">
      <c r="A191" s="27"/>
      <c r="B191" s="27"/>
      <c r="C191" s="27"/>
      <c r="D191" s="27"/>
      <c r="E191" s="15"/>
      <c r="F191" s="26"/>
      <c r="G191" s="15"/>
      <c r="H191" s="26"/>
    </row>
    <row r="192" spans="1:8" ht="15" customHeight="1" x14ac:dyDescent="0.25">
      <c r="A192" s="27"/>
      <c r="B192" s="27"/>
      <c r="C192" s="27"/>
      <c r="D192" s="27"/>
      <c r="E192" s="15"/>
      <c r="F192" s="26"/>
      <c r="G192" s="15"/>
      <c r="H192" s="26"/>
    </row>
    <row r="193" spans="1:8" ht="15" customHeight="1" x14ac:dyDescent="0.25">
      <c r="A193" s="27"/>
      <c r="B193" s="27"/>
      <c r="C193" s="27"/>
      <c r="D193" s="27"/>
      <c r="E193" s="15"/>
      <c r="F193" s="26"/>
      <c r="G193" s="15"/>
      <c r="H193" s="26"/>
    </row>
    <row r="194" spans="1:8" ht="15" customHeight="1" x14ac:dyDescent="0.25">
      <c r="A194" s="27"/>
      <c r="B194" s="27"/>
      <c r="C194" s="27"/>
      <c r="D194" s="27"/>
      <c r="E194" s="15"/>
      <c r="F194" s="26"/>
      <c r="G194" s="15"/>
      <c r="H194" s="26"/>
    </row>
    <row r="195" spans="1:8" ht="15" customHeight="1" x14ac:dyDescent="0.25">
      <c r="A195" s="27"/>
      <c r="B195" s="27"/>
      <c r="C195" s="27"/>
      <c r="D195" s="27"/>
      <c r="E195" s="15"/>
      <c r="F195" s="26"/>
      <c r="G195" s="15"/>
      <c r="H195" s="26"/>
    </row>
    <row r="196" spans="1:8" ht="15" customHeight="1" x14ac:dyDescent="0.25">
      <c r="A196" s="27"/>
      <c r="B196" s="27"/>
      <c r="C196" s="27"/>
      <c r="D196" s="27"/>
      <c r="E196" s="15"/>
      <c r="F196" s="26"/>
      <c r="G196" s="15"/>
      <c r="H196" s="26"/>
    </row>
    <row r="197" spans="1:8" ht="15" customHeight="1" x14ac:dyDescent="0.25">
      <c r="A197" s="27"/>
      <c r="B197" s="27"/>
      <c r="C197" s="27"/>
      <c r="D197" s="27"/>
      <c r="E197" s="15"/>
      <c r="F197" s="26"/>
      <c r="G197" s="15"/>
      <c r="H197" s="26"/>
    </row>
    <row r="198" spans="1:8" ht="15" customHeight="1" x14ac:dyDescent="0.25">
      <c r="A198" s="27"/>
      <c r="B198" s="27"/>
      <c r="C198" s="27"/>
      <c r="D198" s="27"/>
      <c r="E198" s="15"/>
      <c r="F198" s="26"/>
      <c r="G198" s="15"/>
      <c r="H198" s="26"/>
    </row>
    <row r="199" spans="1:8" ht="15" customHeight="1" x14ac:dyDescent="0.25">
      <c r="A199" s="27"/>
      <c r="B199" s="27"/>
      <c r="C199" s="27"/>
      <c r="D199" s="27"/>
      <c r="E199" s="15"/>
      <c r="F199" s="26"/>
      <c r="G199" s="15"/>
      <c r="H199" s="26"/>
    </row>
    <row r="200" spans="1:8" ht="15" customHeight="1" x14ac:dyDescent="0.25">
      <c r="A200" s="27"/>
      <c r="B200" s="27"/>
      <c r="C200" s="27"/>
      <c r="D200" s="27"/>
      <c r="E200" s="15"/>
      <c r="F200" s="26"/>
      <c r="G200" s="15"/>
      <c r="H200" s="26"/>
    </row>
    <row r="201" spans="1:8" ht="15" customHeight="1" x14ac:dyDescent="0.25">
      <c r="A201" s="27"/>
      <c r="B201" s="27"/>
      <c r="C201" s="27"/>
      <c r="D201" s="27"/>
      <c r="E201" s="15"/>
      <c r="F201" s="26"/>
      <c r="G201" s="15"/>
      <c r="H201" s="26"/>
    </row>
    <row r="202" spans="1:8" ht="15" customHeight="1" x14ac:dyDescent="0.25">
      <c r="A202" s="27"/>
      <c r="B202" s="27"/>
      <c r="C202" s="27"/>
      <c r="D202" s="27"/>
      <c r="E202" s="15"/>
      <c r="F202" s="26"/>
      <c r="G202" s="15"/>
      <c r="H202" s="26"/>
    </row>
    <row r="203" spans="1:8" ht="15" customHeight="1" x14ac:dyDescent="0.25">
      <c r="A203" s="27"/>
      <c r="B203" s="27"/>
      <c r="C203" s="27"/>
      <c r="D203" s="27"/>
      <c r="E203" s="15"/>
      <c r="F203" s="26"/>
      <c r="G203" s="15"/>
      <c r="H203" s="26"/>
    </row>
    <row r="204" spans="1:8" ht="15" customHeight="1" x14ac:dyDescent="0.25">
      <c r="A204" s="27"/>
      <c r="B204" s="27"/>
      <c r="C204" s="27"/>
      <c r="D204" s="27"/>
      <c r="E204" s="15"/>
      <c r="F204" s="26"/>
      <c r="G204" s="15"/>
      <c r="H204" s="26"/>
    </row>
    <row r="205" spans="1:8" ht="15" customHeight="1" x14ac:dyDescent="0.25">
      <c r="A205" s="27"/>
      <c r="B205" s="27"/>
      <c r="C205" s="27"/>
      <c r="D205" s="27"/>
      <c r="E205" s="15"/>
      <c r="F205" s="26"/>
      <c r="G205" s="15"/>
      <c r="H205" s="26"/>
    </row>
    <row r="206" spans="1:8" ht="15" customHeight="1" x14ac:dyDescent="0.25">
      <c r="A206" s="27"/>
      <c r="B206" s="27"/>
      <c r="C206" s="27"/>
      <c r="D206" s="27"/>
      <c r="E206" s="15"/>
      <c r="F206" s="26"/>
      <c r="G206" s="15"/>
      <c r="H206" s="26"/>
    </row>
    <row r="207" spans="1:8" ht="15" customHeight="1" x14ac:dyDescent="0.25">
      <c r="A207" s="27"/>
      <c r="B207" s="27"/>
      <c r="C207" s="27"/>
      <c r="D207" s="27"/>
      <c r="E207" s="15"/>
      <c r="F207" s="26"/>
      <c r="G207" s="15"/>
      <c r="H207" s="26"/>
    </row>
    <row r="208" spans="1:8" ht="15" customHeight="1" x14ac:dyDescent="0.25">
      <c r="A208" s="27"/>
      <c r="B208" s="27"/>
      <c r="C208" s="27"/>
      <c r="D208" s="27"/>
      <c r="E208" s="15"/>
      <c r="F208" s="26"/>
      <c r="G208" s="15"/>
      <c r="H208" s="26"/>
    </row>
    <row r="209" spans="1:8" ht="15" customHeight="1" x14ac:dyDescent="0.25">
      <c r="A209" s="27"/>
      <c r="B209" s="27"/>
      <c r="C209" s="27"/>
      <c r="D209" s="27"/>
      <c r="E209" s="15"/>
      <c r="F209" s="26"/>
      <c r="G209" s="15"/>
      <c r="H209" s="26"/>
    </row>
    <row r="210" spans="1:8" ht="15" customHeight="1" x14ac:dyDescent="0.25">
      <c r="A210" s="27"/>
      <c r="B210" s="27"/>
      <c r="C210" s="27"/>
      <c r="D210" s="27"/>
      <c r="E210" s="15"/>
      <c r="F210" s="26"/>
      <c r="G210" s="15"/>
      <c r="H210" s="26"/>
    </row>
    <row r="211" spans="1:8" ht="15" customHeight="1" x14ac:dyDescent="0.25">
      <c r="A211" s="27"/>
      <c r="B211" s="27"/>
      <c r="C211" s="27"/>
      <c r="D211" s="27"/>
      <c r="E211" s="15"/>
      <c r="F211" s="26"/>
      <c r="G211" s="15"/>
      <c r="H211" s="26"/>
    </row>
    <row r="212" spans="1:8" ht="15" customHeight="1" x14ac:dyDescent="0.25">
      <c r="A212" s="27"/>
      <c r="B212" s="27"/>
      <c r="C212" s="27"/>
      <c r="D212" s="27"/>
      <c r="E212" s="15"/>
      <c r="F212" s="26"/>
      <c r="G212" s="15"/>
      <c r="H212" s="26"/>
    </row>
    <row r="213" spans="1:8" ht="15" customHeight="1" x14ac:dyDescent="0.25">
      <c r="A213" s="27"/>
      <c r="B213" s="27"/>
      <c r="C213" s="27"/>
      <c r="D213" s="27"/>
      <c r="E213" s="15"/>
      <c r="F213" s="26"/>
      <c r="G213" s="15"/>
      <c r="H213" s="26"/>
    </row>
    <row r="214" spans="1:8" ht="15" customHeight="1" x14ac:dyDescent="0.25">
      <c r="A214" s="27"/>
      <c r="B214" s="27"/>
      <c r="C214" s="27"/>
      <c r="D214" s="27"/>
      <c r="E214" s="15"/>
      <c r="F214" s="26"/>
      <c r="G214" s="15"/>
      <c r="H214" s="26"/>
    </row>
    <row r="215" spans="1:8" ht="15" customHeight="1" x14ac:dyDescent="0.25">
      <c r="A215" s="27"/>
      <c r="B215" s="27"/>
      <c r="C215" s="27"/>
      <c r="D215" s="27"/>
      <c r="E215" s="15"/>
      <c r="F215" s="26"/>
      <c r="G215" s="15"/>
      <c r="H215" s="26"/>
    </row>
    <row r="216" spans="1:8" ht="15" customHeight="1" x14ac:dyDescent="0.25">
      <c r="A216" s="27"/>
      <c r="B216" s="27"/>
      <c r="C216" s="27"/>
      <c r="D216" s="27"/>
      <c r="E216" s="15"/>
      <c r="F216" s="26"/>
      <c r="G216" s="15"/>
      <c r="H216" s="26"/>
    </row>
    <row r="217" spans="1:8" ht="15" customHeight="1" x14ac:dyDescent="0.25">
      <c r="A217" s="27"/>
      <c r="B217" s="27"/>
      <c r="C217" s="27"/>
      <c r="D217" s="27"/>
      <c r="E217" s="15"/>
      <c r="F217" s="26"/>
      <c r="G217" s="15"/>
      <c r="H217" s="26"/>
    </row>
    <row r="218" spans="1:8" ht="15" customHeight="1" x14ac:dyDescent="0.25">
      <c r="A218" s="27"/>
      <c r="B218" s="27"/>
      <c r="C218" s="27"/>
      <c r="D218" s="27"/>
      <c r="E218" s="15"/>
      <c r="F218" s="26"/>
      <c r="G218" s="15"/>
      <c r="H218" s="26"/>
    </row>
    <row r="219" spans="1:8" ht="15" customHeight="1" x14ac:dyDescent="0.25">
      <c r="A219" s="27"/>
      <c r="B219" s="27"/>
      <c r="C219" s="27"/>
      <c r="D219" s="27"/>
      <c r="E219" s="15"/>
      <c r="F219" s="26"/>
      <c r="G219" s="15"/>
      <c r="H219" s="26"/>
    </row>
    <row r="220" spans="1:8" ht="15" customHeight="1" x14ac:dyDescent="0.25">
      <c r="A220" s="27"/>
      <c r="B220" s="27"/>
      <c r="C220" s="27"/>
      <c r="D220" s="27"/>
      <c r="E220" s="15"/>
      <c r="F220" s="26"/>
      <c r="G220" s="15"/>
      <c r="H220" s="26"/>
    </row>
    <row r="221" spans="1:8" ht="15" customHeight="1" x14ac:dyDescent="0.25">
      <c r="A221" s="27"/>
      <c r="B221" s="27"/>
      <c r="C221" s="27"/>
      <c r="D221" s="27"/>
      <c r="E221" s="15"/>
      <c r="F221" s="26"/>
      <c r="G221" s="15"/>
      <c r="H221" s="26"/>
    </row>
    <row r="222" spans="1:8" ht="15" customHeight="1" x14ac:dyDescent="0.25">
      <c r="A222" s="27"/>
      <c r="B222" s="27"/>
      <c r="C222" s="27"/>
      <c r="D222" s="27"/>
      <c r="E222" s="15"/>
      <c r="F222" s="26"/>
      <c r="G222" s="15"/>
      <c r="H222" s="26"/>
    </row>
    <row r="223" spans="1:8" ht="15" customHeight="1" x14ac:dyDescent="0.25">
      <c r="A223" s="27"/>
      <c r="B223" s="27"/>
      <c r="C223" s="27"/>
      <c r="D223" s="27"/>
      <c r="E223" s="15"/>
      <c r="F223" s="26"/>
      <c r="G223" s="15"/>
      <c r="H223" s="26"/>
    </row>
    <row r="224" spans="1:8" ht="15" customHeight="1" x14ac:dyDescent="0.25">
      <c r="A224" s="27"/>
      <c r="B224" s="27"/>
      <c r="C224" s="27"/>
      <c r="D224" s="27"/>
      <c r="E224" s="15"/>
      <c r="F224" s="26"/>
      <c r="G224" s="15"/>
      <c r="H224" s="26"/>
    </row>
    <row r="225" spans="1:8" ht="15" customHeight="1" x14ac:dyDescent="0.25">
      <c r="A225" s="27"/>
      <c r="B225" s="27"/>
      <c r="C225" s="27"/>
      <c r="D225" s="27"/>
      <c r="E225" s="15"/>
      <c r="F225" s="26"/>
      <c r="G225" s="15"/>
      <c r="H225" s="26"/>
    </row>
    <row r="226" spans="1:8" ht="15" customHeight="1" x14ac:dyDescent="0.25">
      <c r="A226" s="27"/>
      <c r="B226" s="27"/>
      <c r="C226" s="27"/>
      <c r="D226" s="27"/>
      <c r="E226" s="15"/>
      <c r="F226" s="26"/>
      <c r="G226" s="15"/>
      <c r="H226" s="26"/>
    </row>
    <row r="227" spans="1:8" ht="15" customHeight="1" x14ac:dyDescent="0.25">
      <c r="A227" s="27"/>
      <c r="B227" s="27"/>
      <c r="C227" s="27"/>
      <c r="D227" s="27"/>
      <c r="E227" s="15"/>
      <c r="F227" s="26"/>
      <c r="G227" s="15"/>
      <c r="H227" s="26"/>
    </row>
    <row r="228" spans="1:8" ht="15" customHeight="1" x14ac:dyDescent="0.25">
      <c r="A228" s="27"/>
      <c r="B228" s="27"/>
      <c r="C228" s="27"/>
      <c r="D228" s="27"/>
      <c r="E228" s="15"/>
      <c r="F228" s="26"/>
      <c r="G228" s="15"/>
      <c r="H228" s="26"/>
    </row>
    <row r="229" spans="1:8" ht="15" customHeight="1" x14ac:dyDescent="0.25">
      <c r="A229" s="27"/>
      <c r="B229" s="27"/>
      <c r="C229" s="27"/>
      <c r="D229" s="27"/>
      <c r="E229" s="15"/>
      <c r="F229" s="26"/>
      <c r="G229" s="15"/>
      <c r="H229" s="26"/>
    </row>
    <row r="230" spans="1:8" ht="15" customHeight="1" x14ac:dyDescent="0.25">
      <c r="A230" s="27"/>
      <c r="B230" s="27"/>
      <c r="C230" s="27"/>
      <c r="D230" s="27"/>
      <c r="E230" s="15"/>
      <c r="F230" s="26"/>
      <c r="G230" s="15"/>
      <c r="H230" s="26"/>
    </row>
    <row r="231" spans="1:8" ht="15" customHeight="1" x14ac:dyDescent="0.25">
      <c r="A231" s="27"/>
      <c r="B231" s="27"/>
      <c r="C231" s="27"/>
      <c r="D231" s="27"/>
      <c r="E231" s="15"/>
      <c r="F231" s="26"/>
      <c r="G231" s="15"/>
      <c r="H231" s="26"/>
    </row>
    <row r="232" spans="1:8" ht="15" customHeight="1" x14ac:dyDescent="0.25">
      <c r="A232" s="27"/>
      <c r="B232" s="27"/>
      <c r="C232" s="27"/>
      <c r="D232" s="27"/>
      <c r="E232" s="15"/>
      <c r="F232" s="26"/>
      <c r="G232" s="15"/>
      <c r="H232" s="26"/>
    </row>
    <row r="233" spans="1:8" ht="15" customHeight="1" x14ac:dyDescent="0.25">
      <c r="A233" s="27"/>
      <c r="B233" s="27"/>
      <c r="C233" s="27"/>
      <c r="D233" s="27"/>
      <c r="E233" s="15"/>
      <c r="F233" s="26"/>
      <c r="G233" s="15"/>
      <c r="H233" s="26"/>
    </row>
    <row r="234" spans="1:8" ht="15" customHeight="1" x14ac:dyDescent="0.25">
      <c r="A234" s="27"/>
      <c r="B234" s="27"/>
      <c r="C234" s="27"/>
      <c r="D234" s="27"/>
      <c r="E234" s="15"/>
      <c r="F234" s="26"/>
      <c r="G234" s="15"/>
      <c r="H234" s="26"/>
    </row>
    <row r="235" spans="1:8" ht="15" customHeight="1" x14ac:dyDescent="0.25">
      <c r="A235" s="27"/>
      <c r="B235" s="27"/>
      <c r="C235" s="27"/>
      <c r="D235" s="27"/>
      <c r="E235" s="15"/>
      <c r="F235" s="26"/>
      <c r="G235" s="15"/>
      <c r="H235" s="26"/>
    </row>
    <row r="236" spans="1:8" ht="15" customHeight="1" x14ac:dyDescent="0.25">
      <c r="A236" s="27"/>
      <c r="B236" s="27"/>
      <c r="C236" s="27"/>
      <c r="D236" s="27"/>
      <c r="E236" s="15"/>
      <c r="F236" s="26"/>
      <c r="G236" s="15"/>
      <c r="H236" s="26"/>
    </row>
    <row r="237" spans="1:8" ht="15" customHeight="1" x14ac:dyDescent="0.25">
      <c r="A237" s="27"/>
      <c r="B237" s="27"/>
      <c r="C237" s="27"/>
      <c r="D237" s="27"/>
      <c r="E237" s="15"/>
      <c r="F237" s="26"/>
      <c r="G237" s="15"/>
      <c r="H237" s="26"/>
    </row>
    <row r="238" spans="1:8" ht="15" customHeight="1" x14ac:dyDescent="0.25">
      <c r="A238" s="27"/>
      <c r="B238" s="27"/>
      <c r="C238" s="27"/>
      <c r="D238" s="27"/>
      <c r="E238" s="15"/>
      <c r="F238" s="26"/>
      <c r="G238" s="15"/>
      <c r="H238" s="26"/>
    </row>
    <row r="239" spans="1:8" ht="15" customHeight="1" x14ac:dyDescent="0.25">
      <c r="A239" s="27"/>
      <c r="B239" s="27"/>
      <c r="C239" s="27"/>
      <c r="D239" s="27"/>
      <c r="E239" s="15"/>
      <c r="F239" s="26"/>
      <c r="G239" s="15"/>
      <c r="H239" s="26"/>
    </row>
    <row r="240" spans="1:8" ht="15" customHeight="1" x14ac:dyDescent="0.25">
      <c r="A240" s="27"/>
      <c r="B240" s="27"/>
      <c r="C240" s="27"/>
      <c r="D240" s="27"/>
      <c r="E240" s="15"/>
      <c r="F240" s="26"/>
      <c r="G240" s="15"/>
      <c r="H240" s="26"/>
    </row>
    <row r="241" spans="1:8" ht="15" customHeight="1" x14ac:dyDescent="0.25">
      <c r="A241" s="27"/>
      <c r="B241" s="27"/>
      <c r="C241" s="27"/>
      <c r="D241" s="27"/>
      <c r="E241" s="15"/>
      <c r="F241" s="26"/>
      <c r="G241" s="15"/>
      <c r="H241" s="26"/>
    </row>
    <row r="242" spans="1:8" ht="15" customHeight="1" x14ac:dyDescent="0.25">
      <c r="A242" s="27"/>
      <c r="B242" s="27"/>
      <c r="C242" s="27"/>
      <c r="D242" s="27"/>
      <c r="E242" s="15"/>
      <c r="F242" s="26"/>
      <c r="G242" s="15"/>
      <c r="H242" s="26"/>
    </row>
    <row r="243" spans="1:8" ht="15" customHeight="1" x14ac:dyDescent="0.25">
      <c r="A243" s="27"/>
      <c r="B243" s="27"/>
      <c r="C243" s="27"/>
      <c r="D243" s="27"/>
      <c r="E243" s="15"/>
      <c r="F243" s="26"/>
      <c r="G243" s="15"/>
      <c r="H243" s="26"/>
    </row>
    <row r="244" spans="1:8" ht="15" customHeight="1" x14ac:dyDescent="0.25">
      <c r="A244" s="27"/>
      <c r="B244" s="27"/>
      <c r="C244" s="27"/>
      <c r="D244" s="27"/>
      <c r="E244" s="15"/>
      <c r="F244" s="26"/>
      <c r="G244" s="15"/>
      <c r="H244" s="26"/>
    </row>
    <row r="245" spans="1:8" ht="15" customHeight="1" x14ac:dyDescent="0.25">
      <c r="A245" s="27"/>
      <c r="B245" s="27"/>
      <c r="C245" s="27"/>
      <c r="D245" s="27"/>
      <c r="E245" s="15"/>
      <c r="F245" s="26"/>
      <c r="G245" s="15"/>
      <c r="H245" s="26"/>
    </row>
    <row r="246" spans="1:8" ht="15" customHeight="1" x14ac:dyDescent="0.25">
      <c r="A246" s="27"/>
      <c r="B246" s="27"/>
      <c r="C246" s="27"/>
      <c r="D246" s="27"/>
      <c r="E246" s="15"/>
      <c r="F246" s="26"/>
      <c r="G246" s="15"/>
      <c r="H246" s="26"/>
    </row>
    <row r="247" spans="1:8" ht="15" customHeight="1" x14ac:dyDescent="0.25">
      <c r="A247" s="27"/>
      <c r="B247" s="27"/>
      <c r="C247" s="27"/>
      <c r="D247" s="27"/>
      <c r="E247" s="15"/>
      <c r="F247" s="26"/>
      <c r="G247" s="15"/>
      <c r="H247" s="26"/>
    </row>
    <row r="248" spans="1:8" ht="15" customHeight="1" x14ac:dyDescent="0.25">
      <c r="A248" s="27"/>
      <c r="B248" s="27"/>
      <c r="C248" s="27"/>
      <c r="D248" s="27"/>
      <c r="E248" s="15"/>
      <c r="F248" s="26"/>
      <c r="G248" s="15"/>
      <c r="H248" s="26"/>
    </row>
    <row r="249" spans="1:8" ht="15" customHeight="1" x14ac:dyDescent="0.25">
      <c r="A249" s="27"/>
      <c r="B249" s="27"/>
      <c r="C249" s="27"/>
      <c r="D249" s="27"/>
      <c r="E249" s="15"/>
      <c r="F249" s="26"/>
      <c r="G249" s="15"/>
      <c r="H249" s="26"/>
    </row>
    <row r="250" spans="1:8" ht="15" customHeight="1" x14ac:dyDescent="0.25">
      <c r="A250" s="27"/>
      <c r="B250" s="27"/>
      <c r="C250" s="27"/>
      <c r="D250" s="27"/>
      <c r="E250" s="15"/>
      <c r="F250" s="26"/>
      <c r="G250" s="15"/>
      <c r="H250" s="26"/>
    </row>
    <row r="251" spans="1:8" ht="15" customHeight="1" x14ac:dyDescent="0.25">
      <c r="A251" s="27"/>
      <c r="B251" s="27"/>
      <c r="C251" s="27"/>
      <c r="D251" s="27"/>
      <c r="E251" s="15"/>
      <c r="F251" s="26"/>
      <c r="G251" s="15"/>
      <c r="H251" s="26"/>
    </row>
    <row r="252" spans="1:8" ht="15" customHeight="1" x14ac:dyDescent="0.25">
      <c r="A252" s="27"/>
      <c r="B252" s="27"/>
      <c r="C252" s="27"/>
      <c r="D252" s="27"/>
      <c r="E252" s="15"/>
      <c r="F252" s="26"/>
      <c r="G252" s="15"/>
      <c r="H252" s="26"/>
    </row>
    <row r="253" spans="1:8" ht="15" customHeight="1" x14ac:dyDescent="0.25">
      <c r="A253" s="27"/>
      <c r="B253" s="27"/>
      <c r="C253" s="27"/>
      <c r="D253" s="27"/>
      <c r="E253" s="15"/>
      <c r="F253" s="26"/>
      <c r="G253" s="15"/>
      <c r="H253" s="26"/>
    </row>
    <row r="254" spans="1:8" ht="15" customHeight="1" x14ac:dyDescent="0.25">
      <c r="A254" s="27"/>
      <c r="B254" s="27"/>
      <c r="C254" s="27"/>
      <c r="D254" s="27"/>
      <c r="E254" s="15"/>
      <c r="F254" s="26"/>
      <c r="G254" s="15"/>
      <c r="H254" s="26"/>
    </row>
    <row r="255" spans="1:8" ht="15" customHeight="1" x14ac:dyDescent="0.25">
      <c r="A255" s="27"/>
      <c r="B255" s="27"/>
      <c r="C255" s="27"/>
      <c r="D255" s="27"/>
      <c r="E255" s="15"/>
      <c r="F255" s="26"/>
      <c r="G255" s="15"/>
      <c r="H255" s="26"/>
    </row>
    <row r="256" spans="1:8" ht="15" customHeight="1" x14ac:dyDescent="0.25">
      <c r="A256" s="27"/>
      <c r="B256" s="27"/>
      <c r="C256" s="27"/>
      <c r="D256" s="27"/>
      <c r="E256" s="15"/>
      <c r="F256" s="26"/>
      <c r="G256" s="15"/>
      <c r="H256" s="26"/>
    </row>
    <row r="257" spans="1:8" ht="15" customHeight="1" x14ac:dyDescent="0.25">
      <c r="A257" s="27"/>
      <c r="B257" s="27"/>
      <c r="C257" s="27"/>
      <c r="D257" s="27"/>
      <c r="E257" s="15"/>
      <c r="F257" s="26"/>
      <c r="G257" s="15"/>
      <c r="H257" s="26"/>
    </row>
    <row r="258" spans="1:8" ht="15" customHeight="1" x14ac:dyDescent="0.25">
      <c r="A258" s="27"/>
      <c r="B258" s="27"/>
      <c r="C258" s="27"/>
      <c r="D258" s="27"/>
      <c r="E258" s="15"/>
      <c r="F258" s="26"/>
      <c r="G258" s="15"/>
      <c r="H258" s="26"/>
    </row>
    <row r="259" spans="1:8" ht="15" customHeight="1" x14ac:dyDescent="0.25">
      <c r="A259" s="27"/>
      <c r="B259" s="27"/>
      <c r="C259" s="27"/>
      <c r="D259" s="27"/>
      <c r="E259" s="15"/>
      <c r="F259" s="26"/>
      <c r="G259" s="15"/>
      <c r="H259" s="26"/>
    </row>
    <row r="260" spans="1:8" ht="15" customHeight="1" x14ac:dyDescent="0.25">
      <c r="A260" s="27"/>
      <c r="B260" s="27"/>
      <c r="C260" s="27"/>
      <c r="D260" s="27"/>
      <c r="E260" s="15"/>
      <c r="F260" s="26"/>
      <c r="G260" s="15"/>
      <c r="H260" s="26"/>
    </row>
    <row r="261" spans="1:8" ht="15" customHeight="1" x14ac:dyDescent="0.25">
      <c r="A261" s="27"/>
      <c r="B261" s="27"/>
      <c r="C261" s="27"/>
      <c r="D261" s="27"/>
      <c r="E261" s="15"/>
      <c r="F261" s="26"/>
      <c r="G261" s="15"/>
      <c r="H261" s="26"/>
    </row>
    <row r="262" spans="1:8" ht="15" customHeight="1" x14ac:dyDescent="0.25">
      <c r="A262" s="27"/>
      <c r="B262" s="27"/>
      <c r="C262" s="27"/>
      <c r="D262" s="27"/>
      <c r="E262" s="15"/>
      <c r="F262" s="26"/>
      <c r="G262" s="15"/>
      <c r="H262" s="26"/>
    </row>
    <row r="263" spans="1:8" ht="15" customHeight="1" x14ac:dyDescent="0.25">
      <c r="A263" s="27"/>
      <c r="B263" s="27"/>
      <c r="C263" s="27"/>
      <c r="D263" s="27"/>
      <c r="E263" s="15"/>
      <c r="F263" s="26"/>
      <c r="G263" s="15"/>
      <c r="H263" s="26"/>
    </row>
    <row r="264" spans="1:8" ht="15" customHeight="1" x14ac:dyDescent="0.25">
      <c r="A264" s="27"/>
      <c r="B264" s="27"/>
      <c r="C264" s="27"/>
      <c r="D264" s="27"/>
      <c r="E264" s="15"/>
      <c r="F264" s="26"/>
      <c r="G264" s="15"/>
      <c r="H264" s="26"/>
    </row>
    <row r="265" spans="1:8" ht="15" customHeight="1" x14ac:dyDescent="0.25">
      <c r="A265" s="27"/>
      <c r="B265" s="27"/>
      <c r="C265" s="27"/>
      <c r="D265" s="27"/>
      <c r="E265" s="15"/>
      <c r="F265" s="26"/>
      <c r="G265" s="15"/>
      <c r="H265" s="26"/>
    </row>
    <row r="266" spans="1:8" ht="15" customHeight="1" x14ac:dyDescent="0.25">
      <c r="A266" s="27"/>
      <c r="B266" s="27"/>
      <c r="C266" s="27"/>
      <c r="D266" s="27"/>
      <c r="E266" s="15"/>
      <c r="F266" s="26"/>
      <c r="G266" s="15"/>
      <c r="H266" s="26"/>
    </row>
    <row r="267" spans="1:8" ht="15" customHeight="1" x14ac:dyDescent="0.25">
      <c r="A267" s="27"/>
      <c r="B267" s="27"/>
      <c r="C267" s="27"/>
      <c r="D267" s="27"/>
      <c r="E267" s="15"/>
      <c r="F267" s="26"/>
      <c r="G267" s="15"/>
      <c r="H267" s="26"/>
    </row>
    <row r="268" spans="1:8" ht="15" customHeight="1" x14ac:dyDescent="0.25">
      <c r="A268" s="27"/>
      <c r="B268" s="27"/>
      <c r="C268" s="27"/>
      <c r="D268" s="27"/>
      <c r="E268" s="15"/>
      <c r="F268" s="26"/>
      <c r="G268" s="15"/>
      <c r="H268" s="26"/>
    </row>
    <row r="269" spans="1:8" ht="15" customHeight="1" x14ac:dyDescent="0.25">
      <c r="A269" s="27"/>
      <c r="B269" s="27"/>
      <c r="C269" s="27"/>
      <c r="D269" s="27"/>
      <c r="E269" s="15"/>
      <c r="F269" s="26"/>
      <c r="G269" s="15"/>
      <c r="H269" s="26"/>
    </row>
    <row r="270" spans="1:8" ht="15" customHeight="1" x14ac:dyDescent="0.25">
      <c r="A270" s="27"/>
      <c r="B270" s="27"/>
      <c r="C270" s="27"/>
      <c r="D270" s="27"/>
      <c r="E270" s="15"/>
      <c r="F270" s="26"/>
      <c r="G270" s="15"/>
      <c r="H270" s="26"/>
    </row>
    <row r="271" spans="1:8" ht="15" customHeight="1" x14ac:dyDescent="0.25">
      <c r="A271" s="27"/>
      <c r="B271" s="27"/>
      <c r="C271" s="27"/>
      <c r="D271" s="27"/>
      <c r="E271" s="15"/>
      <c r="F271" s="26"/>
      <c r="G271" s="15"/>
      <c r="H271" s="26"/>
    </row>
    <row r="272" spans="1:8" ht="15" customHeight="1" x14ac:dyDescent="0.25">
      <c r="A272" s="27"/>
      <c r="B272" s="27"/>
      <c r="C272" s="27"/>
      <c r="D272" s="27"/>
      <c r="E272" s="15"/>
      <c r="F272" s="26"/>
      <c r="G272" s="15"/>
      <c r="H272" s="26"/>
    </row>
    <row r="273" spans="1:8" ht="15" customHeight="1" x14ac:dyDescent="0.25">
      <c r="A273" s="27"/>
      <c r="B273" s="27"/>
      <c r="C273" s="27"/>
      <c r="D273" s="27"/>
      <c r="E273" s="15"/>
      <c r="F273" s="26"/>
      <c r="G273" s="15"/>
      <c r="H273" s="26"/>
    </row>
    <row r="274" spans="1:8" ht="15" customHeight="1" x14ac:dyDescent="0.25">
      <c r="A274" s="27"/>
      <c r="B274" s="27"/>
      <c r="C274" s="27"/>
      <c r="D274" s="27"/>
      <c r="E274" s="15"/>
      <c r="F274" s="26"/>
      <c r="G274" s="15"/>
      <c r="H274" s="26"/>
    </row>
    <row r="275" spans="1:8" ht="15" customHeight="1" x14ac:dyDescent="0.25">
      <c r="A275" s="27"/>
      <c r="B275" s="27"/>
      <c r="C275" s="27"/>
      <c r="D275" s="27"/>
      <c r="E275" s="15"/>
      <c r="F275" s="26"/>
      <c r="G275" s="15"/>
      <c r="H275" s="26"/>
    </row>
    <row r="276" spans="1:8" ht="15" customHeight="1" x14ac:dyDescent="0.25">
      <c r="A276" s="27"/>
      <c r="B276" s="27"/>
      <c r="C276" s="27"/>
      <c r="D276" s="27"/>
      <c r="E276" s="15"/>
      <c r="F276" s="26"/>
      <c r="G276" s="15"/>
      <c r="H276" s="26"/>
    </row>
    <row r="277" spans="1:8" ht="15" customHeight="1" x14ac:dyDescent="0.25">
      <c r="A277" s="27"/>
      <c r="B277" s="27"/>
      <c r="C277" s="27"/>
      <c r="D277" s="27"/>
      <c r="E277" s="15"/>
      <c r="F277" s="26"/>
      <c r="G277" s="15"/>
      <c r="H277" s="26"/>
    </row>
    <row r="278" spans="1:8" ht="15" customHeight="1" x14ac:dyDescent="0.25">
      <c r="A278" s="27"/>
      <c r="B278" s="27"/>
      <c r="C278" s="27"/>
      <c r="D278" s="27"/>
      <c r="E278" s="15"/>
      <c r="F278" s="26"/>
      <c r="G278" s="15"/>
      <c r="H278" s="26"/>
    </row>
    <row r="279" spans="1:8" ht="15" customHeight="1" x14ac:dyDescent="0.25">
      <c r="A279" s="27"/>
      <c r="B279" s="27"/>
      <c r="C279" s="27"/>
      <c r="D279" s="27"/>
      <c r="E279" s="15"/>
      <c r="F279" s="26"/>
      <c r="G279" s="15"/>
      <c r="H279" s="26"/>
    </row>
    <row r="280" spans="1:8" ht="15" customHeight="1" x14ac:dyDescent="0.25">
      <c r="A280" s="27"/>
      <c r="B280" s="27"/>
      <c r="C280" s="27"/>
      <c r="D280" s="27"/>
      <c r="E280" s="15"/>
      <c r="F280" s="26"/>
      <c r="G280" s="15"/>
      <c r="H280" s="26"/>
    </row>
    <row r="281" spans="1:8" ht="15" customHeight="1" x14ac:dyDescent="0.25">
      <c r="A281" s="27"/>
      <c r="B281" s="27"/>
      <c r="C281" s="27"/>
      <c r="D281" s="27"/>
      <c r="E281" s="15"/>
      <c r="F281" s="26"/>
      <c r="G281" s="15"/>
      <c r="H281" s="26"/>
    </row>
    <row r="282" spans="1:8" ht="15" customHeight="1" x14ac:dyDescent="0.25">
      <c r="A282" s="27"/>
      <c r="B282" s="27"/>
      <c r="C282" s="27"/>
      <c r="D282" s="27"/>
      <c r="E282" s="15"/>
      <c r="F282" s="26"/>
      <c r="G282" s="15"/>
      <c r="H282" s="26"/>
    </row>
    <row r="283" spans="1:8" ht="15" customHeight="1" x14ac:dyDescent="0.25">
      <c r="A283" s="27"/>
      <c r="B283" s="27"/>
      <c r="C283" s="27"/>
      <c r="D283" s="27"/>
      <c r="E283" s="15"/>
      <c r="F283" s="26"/>
      <c r="G283" s="15"/>
      <c r="H283" s="26"/>
    </row>
    <row r="284" spans="1:8" ht="15" customHeight="1" x14ac:dyDescent="0.25">
      <c r="A284" s="27"/>
      <c r="B284" s="27"/>
      <c r="C284" s="27"/>
      <c r="D284" s="27"/>
      <c r="E284" s="15"/>
      <c r="F284" s="26"/>
      <c r="G284" s="15"/>
      <c r="H284" s="26"/>
    </row>
    <row r="285" spans="1:8" ht="15" customHeight="1" x14ac:dyDescent="0.25">
      <c r="A285" s="27"/>
      <c r="B285" s="27"/>
      <c r="C285" s="27"/>
      <c r="D285" s="27"/>
      <c r="E285" s="15"/>
      <c r="F285" s="26"/>
      <c r="G285" s="15"/>
      <c r="H285" s="26"/>
    </row>
    <row r="286" spans="1:8" ht="15" customHeight="1" x14ac:dyDescent="0.25">
      <c r="A286" s="27"/>
      <c r="B286" s="27"/>
      <c r="C286" s="27"/>
      <c r="D286" s="27"/>
      <c r="E286" s="15"/>
      <c r="F286" s="26"/>
      <c r="G286" s="15"/>
      <c r="H286" s="26"/>
    </row>
    <row r="287" spans="1:8" ht="15" customHeight="1" x14ac:dyDescent="0.25">
      <c r="A287" s="27"/>
      <c r="B287" s="27"/>
      <c r="C287" s="27"/>
      <c r="D287" s="27"/>
      <c r="E287" s="15"/>
      <c r="F287" s="26"/>
      <c r="G287" s="15"/>
      <c r="H287" s="26"/>
    </row>
    <row r="288" spans="1:8" ht="15" customHeight="1" x14ac:dyDescent="0.25">
      <c r="A288" s="27"/>
      <c r="B288" s="27"/>
      <c r="C288" s="27"/>
      <c r="D288" s="27"/>
      <c r="E288" s="15"/>
      <c r="F288" s="26"/>
      <c r="G288" s="15"/>
      <c r="H288" s="26"/>
    </row>
    <row r="289" spans="1:8" ht="15" customHeight="1" x14ac:dyDescent="0.25">
      <c r="A289" s="27"/>
      <c r="B289" s="27"/>
      <c r="C289" s="27"/>
      <c r="D289" s="27"/>
      <c r="E289" s="15"/>
      <c r="F289" s="26"/>
      <c r="G289" s="15"/>
      <c r="H289" s="26"/>
    </row>
    <row r="290" spans="1:8" ht="15" customHeight="1" x14ac:dyDescent="0.25">
      <c r="A290" s="27"/>
      <c r="B290" s="27"/>
      <c r="C290" s="27"/>
      <c r="D290" s="27"/>
      <c r="E290" s="15"/>
      <c r="F290" s="26"/>
      <c r="G290" s="15"/>
      <c r="H290" s="26"/>
    </row>
    <row r="291" spans="1:8" ht="15" customHeight="1" x14ac:dyDescent="0.25">
      <c r="A291" s="27"/>
      <c r="B291" s="27"/>
      <c r="C291" s="27"/>
      <c r="D291" s="27"/>
      <c r="E291" s="15"/>
      <c r="F291" s="26"/>
      <c r="G291" s="15"/>
      <c r="H291" s="26"/>
    </row>
    <row r="292" spans="1:8" ht="15" customHeight="1" x14ac:dyDescent="0.25">
      <c r="A292" s="27"/>
      <c r="B292" s="27"/>
      <c r="C292" s="27"/>
      <c r="D292" s="27"/>
      <c r="E292" s="15"/>
      <c r="F292" s="26"/>
      <c r="G292" s="15"/>
      <c r="H292" s="26"/>
    </row>
    <row r="293" spans="1:8" ht="15" customHeight="1" x14ac:dyDescent="0.25">
      <c r="A293" s="27"/>
      <c r="B293" s="27"/>
      <c r="C293" s="27"/>
      <c r="D293" s="27"/>
      <c r="E293" s="15"/>
      <c r="F293" s="26"/>
      <c r="G293" s="15"/>
      <c r="H293" s="26"/>
    </row>
    <row r="294" spans="1:8" ht="15" customHeight="1" x14ac:dyDescent="0.25">
      <c r="A294" s="27"/>
      <c r="B294" s="27"/>
      <c r="C294" s="27"/>
      <c r="D294" s="27"/>
      <c r="E294" s="15"/>
      <c r="F294" s="26"/>
      <c r="G294" s="15"/>
      <c r="H294" s="26"/>
    </row>
    <row r="295" spans="1:8" ht="15" customHeight="1" x14ac:dyDescent="0.25">
      <c r="A295" s="27"/>
      <c r="B295" s="27"/>
      <c r="C295" s="27"/>
      <c r="D295" s="27"/>
      <c r="E295" s="15"/>
      <c r="F295" s="26"/>
      <c r="G295" s="15"/>
      <c r="H295" s="26"/>
    </row>
    <row r="296" spans="1:8" ht="15" customHeight="1" x14ac:dyDescent="0.25">
      <c r="A296" s="27"/>
      <c r="B296" s="27"/>
      <c r="C296" s="27"/>
      <c r="D296" s="27"/>
      <c r="E296" s="15"/>
      <c r="F296" s="26"/>
      <c r="G296" s="15"/>
      <c r="H296" s="26"/>
    </row>
    <row r="297" spans="1:8" ht="15" customHeight="1" x14ac:dyDescent="0.25">
      <c r="A297" s="27"/>
      <c r="B297" s="27"/>
      <c r="C297" s="27"/>
      <c r="D297" s="27"/>
      <c r="E297" s="15"/>
      <c r="F297" s="26"/>
      <c r="G297" s="15"/>
      <c r="H297" s="26"/>
    </row>
    <row r="298" spans="1:8" ht="15" customHeight="1" x14ac:dyDescent="0.25">
      <c r="A298" s="27"/>
      <c r="B298" s="27"/>
      <c r="C298" s="27"/>
      <c r="D298" s="27"/>
      <c r="E298" s="15"/>
      <c r="F298" s="26"/>
      <c r="G298" s="15"/>
      <c r="H298" s="26"/>
    </row>
    <row r="299" spans="1:8" ht="15" customHeight="1" x14ac:dyDescent="0.25">
      <c r="A299" s="27"/>
      <c r="B299" s="27"/>
      <c r="C299" s="27"/>
      <c r="D299" s="27"/>
      <c r="E299" s="15"/>
      <c r="F299" s="26"/>
      <c r="G299" s="15"/>
      <c r="H299" s="26"/>
    </row>
    <row r="300" spans="1:8" ht="15" customHeight="1" x14ac:dyDescent="0.25">
      <c r="A300" s="27"/>
      <c r="B300" s="27"/>
      <c r="C300" s="27"/>
      <c r="D300" s="27"/>
      <c r="E300" s="15"/>
      <c r="F300" s="26"/>
      <c r="G300" s="15"/>
      <c r="H300" s="26"/>
    </row>
    <row r="301" spans="1:8" ht="15" customHeight="1" x14ac:dyDescent="0.25">
      <c r="A301" s="27"/>
      <c r="B301" s="27"/>
      <c r="C301" s="27"/>
      <c r="D301" s="27"/>
      <c r="E301" s="15"/>
      <c r="F301" s="26"/>
      <c r="G301" s="15"/>
      <c r="H301" s="26"/>
    </row>
    <row r="302" spans="1:8" ht="15" customHeight="1" x14ac:dyDescent="0.25">
      <c r="A302" s="27"/>
      <c r="B302" s="27"/>
      <c r="C302" s="27"/>
      <c r="D302" s="27"/>
      <c r="E302" s="15"/>
      <c r="F302" s="26"/>
      <c r="G302" s="15"/>
      <c r="H302" s="26"/>
    </row>
    <row r="303" spans="1:8" ht="15" customHeight="1" x14ac:dyDescent="0.25">
      <c r="A303" s="27"/>
      <c r="B303" s="27"/>
      <c r="C303" s="27"/>
      <c r="D303" s="27"/>
      <c r="E303" s="15"/>
      <c r="F303" s="26"/>
      <c r="G303" s="15"/>
      <c r="H303" s="26"/>
    </row>
    <row r="304" spans="1:8" ht="15" customHeight="1" x14ac:dyDescent="0.25">
      <c r="A304" s="27"/>
      <c r="B304" s="27"/>
      <c r="C304" s="27"/>
      <c r="D304" s="27"/>
      <c r="E304" s="15"/>
      <c r="F304" s="26"/>
      <c r="G304" s="15"/>
      <c r="H304" s="26"/>
    </row>
    <row r="305" spans="1:8" ht="15" customHeight="1" x14ac:dyDescent="0.25">
      <c r="A305" s="27"/>
      <c r="B305" s="27"/>
      <c r="C305" s="27"/>
      <c r="D305" s="27"/>
      <c r="E305" s="15"/>
      <c r="F305" s="26"/>
      <c r="G305" s="15"/>
      <c r="H305" s="26"/>
    </row>
    <row r="306" spans="1:8" ht="15" customHeight="1" x14ac:dyDescent="0.25">
      <c r="A306" s="27"/>
      <c r="B306" s="27"/>
      <c r="C306" s="27"/>
      <c r="D306" s="27"/>
      <c r="E306" s="15"/>
      <c r="F306" s="26"/>
      <c r="G306" s="15"/>
      <c r="H306" s="26"/>
    </row>
    <row r="307" spans="1:8" ht="15" customHeight="1" x14ac:dyDescent="0.25">
      <c r="A307" s="27"/>
      <c r="B307" s="27"/>
      <c r="C307" s="27"/>
      <c r="D307" s="27"/>
      <c r="E307" s="15"/>
      <c r="F307" s="26"/>
      <c r="G307" s="15"/>
      <c r="H307" s="26"/>
    </row>
    <row r="308" spans="1:8" ht="15" customHeight="1" x14ac:dyDescent="0.25">
      <c r="A308" s="27"/>
      <c r="B308" s="27"/>
      <c r="C308" s="27"/>
      <c r="D308" s="27"/>
      <c r="E308" s="15"/>
      <c r="F308" s="26"/>
      <c r="G308" s="15"/>
      <c r="H308" s="26"/>
    </row>
    <row r="309" spans="1:8" ht="15" customHeight="1" x14ac:dyDescent="0.25">
      <c r="A309" s="27"/>
      <c r="B309" s="27"/>
      <c r="C309" s="27"/>
      <c r="D309" s="27"/>
      <c r="E309" s="15"/>
      <c r="F309" s="26"/>
      <c r="G309" s="15"/>
      <c r="H309" s="26"/>
    </row>
    <row r="310" spans="1:8" ht="15" customHeight="1" x14ac:dyDescent="0.25">
      <c r="A310" s="27"/>
      <c r="B310" s="27"/>
      <c r="C310" s="27"/>
      <c r="D310" s="27"/>
      <c r="E310" s="15"/>
      <c r="F310" s="26"/>
      <c r="G310" s="15"/>
      <c r="H310" s="26"/>
    </row>
    <row r="311" spans="1:8" ht="15" customHeight="1" x14ac:dyDescent="0.25">
      <c r="A311" s="27"/>
      <c r="B311" s="27"/>
      <c r="C311" s="27"/>
      <c r="D311" s="27"/>
      <c r="E311" s="15"/>
      <c r="F311" s="26"/>
      <c r="G311" s="15"/>
      <c r="H311" s="26"/>
    </row>
    <row r="312" spans="1:8" ht="15" customHeight="1" x14ac:dyDescent="0.25">
      <c r="A312" s="27"/>
      <c r="B312" s="27"/>
      <c r="C312" s="27"/>
      <c r="D312" s="27"/>
      <c r="E312" s="15"/>
      <c r="F312" s="26"/>
      <c r="G312" s="15"/>
      <c r="H312" s="26"/>
    </row>
    <row r="313" spans="1:8" ht="15" customHeight="1" x14ac:dyDescent="0.25">
      <c r="A313" s="27"/>
      <c r="B313" s="27"/>
      <c r="C313" s="27"/>
      <c r="D313" s="27"/>
      <c r="E313" s="15"/>
      <c r="F313" s="26"/>
      <c r="G313" s="15"/>
      <c r="H313" s="26"/>
    </row>
    <row r="314" spans="1:8" ht="15" customHeight="1" x14ac:dyDescent="0.25">
      <c r="A314" s="27"/>
      <c r="B314" s="27"/>
      <c r="C314" s="27"/>
      <c r="D314" s="27"/>
      <c r="E314" s="15"/>
      <c r="F314" s="26"/>
      <c r="G314" s="15"/>
      <c r="H314" s="26"/>
    </row>
    <row r="315" spans="1:8" ht="15" customHeight="1" x14ac:dyDescent="0.25">
      <c r="A315" s="27"/>
      <c r="B315" s="27"/>
      <c r="C315" s="27"/>
      <c r="D315" s="27"/>
      <c r="E315" s="15"/>
      <c r="F315" s="26"/>
      <c r="G315" s="15"/>
      <c r="H315" s="26"/>
    </row>
    <row r="316" spans="1:8" ht="15" customHeight="1" x14ac:dyDescent="0.25">
      <c r="A316" s="27"/>
      <c r="B316" s="27"/>
      <c r="C316" s="27"/>
      <c r="D316" s="27"/>
      <c r="E316" s="15"/>
      <c r="F316" s="26"/>
      <c r="G316" s="15"/>
      <c r="H316" s="26"/>
    </row>
    <row r="317" spans="1:8" ht="15" customHeight="1" x14ac:dyDescent="0.25">
      <c r="A317" s="27"/>
      <c r="B317" s="27"/>
      <c r="C317" s="27"/>
      <c r="D317" s="27"/>
      <c r="E317" s="15"/>
      <c r="F317" s="26"/>
      <c r="G317" s="15"/>
      <c r="H317" s="26"/>
    </row>
    <row r="318" spans="1:8" ht="15" customHeight="1" x14ac:dyDescent="0.25">
      <c r="A318" s="27"/>
      <c r="B318" s="27"/>
      <c r="C318" s="27"/>
      <c r="D318" s="27"/>
      <c r="E318" s="15"/>
      <c r="F318" s="26"/>
      <c r="G318" s="15"/>
      <c r="H318" s="26"/>
    </row>
    <row r="319" spans="1:8" ht="15" customHeight="1" x14ac:dyDescent="0.25">
      <c r="A319" s="27"/>
      <c r="B319" s="27"/>
      <c r="C319" s="27"/>
      <c r="D319" s="27"/>
      <c r="E319" s="15"/>
      <c r="F319" s="26"/>
      <c r="G319" s="15"/>
      <c r="H319" s="26"/>
    </row>
    <row r="320" spans="1:8" ht="15" customHeight="1" x14ac:dyDescent="0.25">
      <c r="A320" s="27"/>
      <c r="B320" s="27"/>
      <c r="C320" s="27"/>
      <c r="D320" s="27"/>
      <c r="E320" s="15"/>
      <c r="F320" s="26"/>
      <c r="G320" s="15"/>
      <c r="H320" s="26"/>
    </row>
    <row r="321" spans="1:8" ht="15" customHeight="1" x14ac:dyDescent="0.25">
      <c r="A321" s="27"/>
      <c r="B321" s="27"/>
      <c r="C321" s="27"/>
      <c r="D321" s="27"/>
      <c r="E321" s="15"/>
      <c r="F321" s="26"/>
      <c r="G321" s="15"/>
      <c r="H321" s="26"/>
    </row>
    <row r="322" spans="1:8" ht="15" customHeight="1" x14ac:dyDescent="0.25">
      <c r="A322" s="27"/>
      <c r="B322" s="27"/>
      <c r="C322" s="27"/>
      <c r="D322" s="27"/>
      <c r="E322" s="15"/>
      <c r="F322" s="26"/>
      <c r="G322" s="15"/>
      <c r="H322" s="26"/>
    </row>
    <row r="323" spans="1:8" ht="15" customHeight="1" x14ac:dyDescent="0.25">
      <c r="A323" s="27"/>
      <c r="B323" s="27"/>
      <c r="C323" s="27"/>
      <c r="D323" s="27"/>
      <c r="E323" s="15"/>
      <c r="F323" s="26"/>
      <c r="G323" s="15"/>
      <c r="H323" s="26"/>
    </row>
    <row r="324" spans="1:8" ht="15" customHeight="1" x14ac:dyDescent="0.25">
      <c r="A324" s="27"/>
      <c r="B324" s="27"/>
      <c r="C324" s="27"/>
      <c r="D324" s="27"/>
      <c r="E324" s="15"/>
      <c r="F324" s="26"/>
      <c r="G324" s="15"/>
      <c r="H324" s="26"/>
    </row>
    <row r="325" spans="1:8" ht="15" customHeight="1" x14ac:dyDescent="0.25">
      <c r="A325" s="27"/>
      <c r="B325" s="27"/>
      <c r="C325" s="27"/>
      <c r="D325" s="27"/>
      <c r="E325" s="15"/>
      <c r="F325" s="26"/>
      <c r="G325" s="15"/>
      <c r="H325" s="26"/>
    </row>
    <row r="326" spans="1:8" ht="15" customHeight="1" x14ac:dyDescent="0.25">
      <c r="A326" s="27"/>
      <c r="B326" s="27"/>
      <c r="C326" s="27"/>
      <c r="D326" s="27"/>
      <c r="E326" s="15"/>
      <c r="F326" s="26"/>
      <c r="G326" s="15"/>
      <c r="H326" s="26"/>
    </row>
    <row r="327" spans="1:8" ht="15" customHeight="1" x14ac:dyDescent="0.25">
      <c r="A327" s="27"/>
      <c r="B327" s="27"/>
      <c r="C327" s="27"/>
      <c r="D327" s="27"/>
      <c r="E327" s="15"/>
      <c r="F327" s="26"/>
      <c r="G327" s="15"/>
      <c r="H327" s="26"/>
    </row>
    <row r="328" spans="1:8" ht="15" customHeight="1" x14ac:dyDescent="0.25">
      <c r="A328" s="27"/>
      <c r="B328" s="27"/>
      <c r="C328" s="27"/>
      <c r="D328" s="27"/>
      <c r="E328" s="15"/>
      <c r="F328" s="26"/>
      <c r="G328" s="15"/>
      <c r="H328" s="26"/>
    </row>
    <row r="329" spans="1:8" ht="15" customHeight="1" x14ac:dyDescent="0.25">
      <c r="A329" s="27"/>
      <c r="B329" s="27"/>
      <c r="C329" s="27"/>
      <c r="D329" s="27"/>
      <c r="E329" s="15"/>
      <c r="F329" s="26"/>
      <c r="G329" s="15"/>
      <c r="H329" s="26"/>
    </row>
    <row r="330" spans="1:8" ht="15" customHeight="1" x14ac:dyDescent="0.25">
      <c r="A330" s="27"/>
      <c r="B330" s="27"/>
      <c r="C330" s="27"/>
      <c r="D330" s="27"/>
      <c r="E330" s="15"/>
      <c r="F330" s="26"/>
      <c r="G330" s="15"/>
      <c r="H330" s="26"/>
    </row>
    <row r="331" spans="1:8" ht="15" customHeight="1" x14ac:dyDescent="0.25">
      <c r="A331" s="27"/>
      <c r="B331" s="27"/>
      <c r="C331" s="27"/>
      <c r="D331" s="27"/>
      <c r="E331" s="15"/>
      <c r="F331" s="26"/>
      <c r="G331" s="15"/>
      <c r="H331" s="26"/>
    </row>
    <row r="332" spans="1:8" ht="15" customHeight="1" x14ac:dyDescent="0.25">
      <c r="A332" s="27"/>
      <c r="B332" s="27"/>
      <c r="C332" s="27"/>
      <c r="D332" s="27"/>
      <c r="E332" s="15"/>
      <c r="F332" s="26"/>
      <c r="G332" s="15"/>
      <c r="H332" s="26"/>
    </row>
    <row r="333" spans="1:8" ht="15" customHeight="1" x14ac:dyDescent="0.25">
      <c r="A333" s="27"/>
      <c r="B333" s="27"/>
      <c r="C333" s="27"/>
      <c r="D333" s="27"/>
      <c r="E333" s="15"/>
      <c r="F333" s="26"/>
      <c r="G333" s="15"/>
      <c r="H333" s="26"/>
    </row>
    <row r="334" spans="1:8" ht="15" customHeight="1" x14ac:dyDescent="0.25">
      <c r="A334" s="27"/>
      <c r="B334" s="27"/>
      <c r="C334" s="27"/>
      <c r="D334" s="27"/>
      <c r="E334" s="15"/>
      <c r="F334" s="26"/>
      <c r="G334" s="15"/>
      <c r="H334" s="26"/>
    </row>
    <row r="335" spans="1:8" ht="15" customHeight="1" x14ac:dyDescent="0.25">
      <c r="A335" s="27"/>
      <c r="B335" s="27"/>
      <c r="C335" s="27"/>
      <c r="D335" s="27"/>
      <c r="E335" s="15"/>
      <c r="F335" s="26"/>
      <c r="G335" s="15"/>
      <c r="H335" s="26"/>
    </row>
    <row r="336" spans="1:8" ht="15" customHeight="1" x14ac:dyDescent="0.25">
      <c r="A336" s="27"/>
      <c r="B336" s="27"/>
      <c r="C336" s="27"/>
      <c r="D336" s="27"/>
      <c r="E336" s="15"/>
      <c r="F336" s="26"/>
      <c r="G336" s="15"/>
      <c r="H336" s="26"/>
    </row>
    <row r="337" spans="1:8" ht="15" customHeight="1" x14ac:dyDescent="0.25">
      <c r="A337" s="27"/>
      <c r="B337" s="27"/>
      <c r="C337" s="27"/>
      <c r="D337" s="27"/>
      <c r="E337" s="15"/>
      <c r="F337" s="26"/>
      <c r="G337" s="15"/>
      <c r="H337" s="26"/>
    </row>
    <row r="338" spans="1:8" ht="15" customHeight="1" x14ac:dyDescent="0.25">
      <c r="A338" s="27"/>
      <c r="B338" s="27"/>
      <c r="C338" s="27"/>
      <c r="D338" s="27"/>
      <c r="E338" s="15"/>
      <c r="F338" s="26"/>
      <c r="G338" s="15"/>
      <c r="H338" s="26"/>
    </row>
    <row r="339" spans="1:8" ht="15" customHeight="1" x14ac:dyDescent="0.25">
      <c r="A339" s="27"/>
      <c r="B339" s="27"/>
      <c r="C339" s="27"/>
      <c r="D339" s="27"/>
      <c r="E339" s="15"/>
      <c r="F339" s="26"/>
      <c r="G339" s="15"/>
      <c r="H339" s="26"/>
    </row>
    <row r="340" spans="1:8" ht="15" customHeight="1" x14ac:dyDescent="0.25">
      <c r="A340" s="27"/>
      <c r="B340" s="27"/>
      <c r="C340" s="27"/>
      <c r="D340" s="27"/>
      <c r="E340" s="15"/>
      <c r="F340" s="26"/>
      <c r="G340" s="15"/>
      <c r="H340" s="26"/>
    </row>
    <row r="341" spans="1:8" ht="15" customHeight="1" x14ac:dyDescent="0.25">
      <c r="A341" s="27"/>
      <c r="B341" s="27"/>
      <c r="C341" s="27"/>
      <c r="D341" s="27"/>
      <c r="E341" s="15"/>
      <c r="F341" s="26"/>
      <c r="G341" s="15"/>
      <c r="H341" s="26"/>
    </row>
    <row r="342" spans="1:8" ht="15" customHeight="1" x14ac:dyDescent="0.25">
      <c r="A342" s="27"/>
      <c r="B342" s="27"/>
      <c r="C342" s="27"/>
      <c r="D342" s="27"/>
      <c r="E342" s="15"/>
      <c r="F342" s="26"/>
      <c r="G342" s="15"/>
      <c r="H342" s="26"/>
    </row>
    <row r="343" spans="1:8" ht="15" customHeight="1" x14ac:dyDescent="0.25">
      <c r="A343" s="27"/>
      <c r="B343" s="27"/>
      <c r="C343" s="27"/>
      <c r="D343" s="27"/>
      <c r="E343" s="15"/>
      <c r="F343" s="26"/>
      <c r="G343" s="15"/>
      <c r="H343" s="26"/>
    </row>
    <row r="344" spans="1:8" ht="15" customHeight="1" x14ac:dyDescent="0.25">
      <c r="A344" s="27"/>
      <c r="B344" s="27"/>
      <c r="C344" s="27"/>
      <c r="D344" s="27"/>
      <c r="E344" s="15"/>
      <c r="F344" s="26"/>
      <c r="G344" s="15"/>
      <c r="H344" s="26"/>
    </row>
    <row r="345" spans="1:8" ht="15" customHeight="1" x14ac:dyDescent="0.25">
      <c r="A345" s="27"/>
      <c r="B345" s="27"/>
      <c r="C345" s="27"/>
      <c r="D345" s="27"/>
      <c r="E345" s="15"/>
      <c r="F345" s="26"/>
      <c r="G345" s="15"/>
      <c r="H345" s="26"/>
    </row>
    <row r="346" spans="1:8" ht="15" customHeight="1" x14ac:dyDescent="0.25">
      <c r="A346" s="27"/>
      <c r="B346" s="27"/>
      <c r="C346" s="27"/>
      <c r="D346" s="27"/>
      <c r="E346" s="15"/>
      <c r="F346" s="26"/>
      <c r="G346" s="15"/>
      <c r="H346" s="26"/>
    </row>
    <row r="347" spans="1:8" ht="15" customHeight="1" x14ac:dyDescent="0.25">
      <c r="A347" s="27"/>
      <c r="B347" s="27"/>
      <c r="C347" s="27"/>
      <c r="D347" s="27"/>
      <c r="E347" s="15"/>
      <c r="F347" s="26"/>
      <c r="G347" s="15"/>
      <c r="H347" s="26"/>
    </row>
    <row r="348" spans="1:8" ht="15" customHeight="1" x14ac:dyDescent="0.25">
      <c r="A348" s="27"/>
      <c r="B348" s="27"/>
      <c r="C348" s="27"/>
      <c r="D348" s="27"/>
      <c r="E348" s="15"/>
      <c r="F348" s="26"/>
      <c r="G348" s="15"/>
      <c r="H348" s="26"/>
    </row>
    <row r="349" spans="1:8" ht="15" customHeight="1" x14ac:dyDescent="0.25">
      <c r="A349" s="27"/>
      <c r="B349" s="27"/>
      <c r="C349" s="27"/>
      <c r="D349" s="27"/>
      <c r="E349" s="15"/>
      <c r="F349" s="26"/>
      <c r="G349" s="15"/>
      <c r="H349" s="26"/>
    </row>
    <row r="350" spans="1:8" ht="15" customHeight="1" x14ac:dyDescent="0.25">
      <c r="A350" s="27"/>
      <c r="B350" s="27"/>
      <c r="C350" s="27"/>
      <c r="D350" s="27"/>
      <c r="E350" s="15"/>
      <c r="F350" s="26"/>
      <c r="G350" s="15"/>
      <c r="H350" s="26"/>
    </row>
    <row r="351" spans="1:8" ht="15" customHeight="1" x14ac:dyDescent="0.25">
      <c r="A351" s="27"/>
      <c r="B351" s="27"/>
      <c r="C351" s="27"/>
      <c r="D351" s="27"/>
      <c r="E351" s="15"/>
      <c r="F351" s="26"/>
      <c r="G351" s="15"/>
      <c r="H351" s="26"/>
    </row>
    <row r="352" spans="1:8" ht="15" customHeight="1" x14ac:dyDescent="0.25">
      <c r="A352" s="27"/>
      <c r="B352" s="27"/>
      <c r="C352" s="27"/>
      <c r="D352" s="27"/>
      <c r="E352" s="15"/>
      <c r="F352" s="26"/>
      <c r="G352" s="15"/>
      <c r="H352" s="26"/>
    </row>
    <row r="353" spans="1:8" ht="15" customHeight="1" x14ac:dyDescent="0.25">
      <c r="A353" s="27"/>
      <c r="B353" s="27"/>
      <c r="C353" s="27"/>
      <c r="D353" s="27"/>
      <c r="E353" s="15"/>
      <c r="F353" s="26"/>
      <c r="G353" s="15"/>
      <c r="H353" s="26"/>
    </row>
    <row r="354" spans="1:8" ht="15" customHeight="1" x14ac:dyDescent="0.25">
      <c r="A354" s="27"/>
      <c r="B354" s="27"/>
      <c r="C354" s="27"/>
      <c r="D354" s="27"/>
      <c r="E354" s="15"/>
      <c r="F354" s="26"/>
      <c r="G354" s="15"/>
      <c r="H354" s="26"/>
    </row>
    <row r="355" spans="1:8" ht="15" customHeight="1" x14ac:dyDescent="0.25">
      <c r="A355" s="27"/>
      <c r="B355" s="27"/>
      <c r="C355" s="27"/>
      <c r="D355" s="27"/>
      <c r="E355" s="15"/>
      <c r="F355" s="26"/>
      <c r="G355" s="15"/>
      <c r="H355" s="26"/>
    </row>
    <row r="356" spans="1:8" ht="15" customHeight="1" x14ac:dyDescent="0.25">
      <c r="A356" s="27"/>
      <c r="B356" s="27"/>
      <c r="C356" s="27"/>
      <c r="D356" s="27"/>
      <c r="E356" s="15"/>
      <c r="F356" s="26"/>
      <c r="G356" s="15"/>
      <c r="H356" s="26"/>
    </row>
    <row r="357" spans="1:8" ht="15" customHeight="1" x14ac:dyDescent="0.25">
      <c r="A357" s="27"/>
      <c r="B357" s="27"/>
      <c r="C357" s="27"/>
      <c r="D357" s="27"/>
      <c r="E357" s="15"/>
      <c r="F357" s="26"/>
      <c r="G357" s="15"/>
      <c r="H357" s="26"/>
    </row>
    <row r="358" spans="1:8" ht="15" customHeight="1" x14ac:dyDescent="0.25">
      <c r="A358" s="27"/>
      <c r="B358" s="27"/>
      <c r="C358" s="27"/>
      <c r="D358" s="27"/>
      <c r="E358" s="15"/>
      <c r="F358" s="26"/>
      <c r="G358" s="15"/>
      <c r="H358" s="26"/>
    </row>
    <row r="359" spans="1:8" ht="15" customHeight="1" x14ac:dyDescent="0.25">
      <c r="A359" s="27"/>
      <c r="B359" s="27"/>
      <c r="C359" s="27"/>
      <c r="D359" s="27"/>
      <c r="E359" s="15"/>
      <c r="F359" s="26"/>
      <c r="G359" s="15"/>
      <c r="H359" s="26"/>
    </row>
    <row r="360" spans="1:8" ht="15" customHeight="1" x14ac:dyDescent="0.25">
      <c r="A360" s="27"/>
      <c r="B360" s="27"/>
      <c r="C360" s="27"/>
      <c r="D360" s="27"/>
      <c r="E360" s="15"/>
      <c r="F360" s="26"/>
      <c r="G360" s="15"/>
      <c r="H360" s="26"/>
    </row>
    <row r="361" spans="1:8" ht="15" customHeight="1" x14ac:dyDescent="0.25">
      <c r="A361" s="27"/>
      <c r="B361" s="27"/>
      <c r="C361" s="27"/>
      <c r="D361" s="27"/>
      <c r="E361" s="15"/>
      <c r="F361" s="26"/>
      <c r="G361" s="15"/>
      <c r="H361" s="26"/>
    </row>
    <row r="362" spans="1:8" ht="15" customHeight="1" x14ac:dyDescent="0.25">
      <c r="A362" s="27"/>
      <c r="B362" s="27"/>
      <c r="C362" s="27"/>
      <c r="D362" s="27"/>
      <c r="E362" s="15"/>
      <c r="F362" s="26"/>
      <c r="G362" s="15"/>
      <c r="H362" s="26"/>
    </row>
    <row r="363" spans="1:8" ht="15" customHeight="1" x14ac:dyDescent="0.25">
      <c r="A363" s="27"/>
      <c r="B363" s="27"/>
      <c r="C363" s="27"/>
      <c r="D363" s="27"/>
      <c r="E363" s="15"/>
      <c r="F363" s="26"/>
      <c r="G363" s="15"/>
      <c r="H363" s="26"/>
    </row>
    <row r="364" spans="1:8" ht="15" customHeight="1" x14ac:dyDescent="0.25">
      <c r="A364" s="27"/>
      <c r="B364" s="27"/>
      <c r="C364" s="27"/>
      <c r="D364" s="27"/>
      <c r="E364" s="15"/>
      <c r="F364" s="26"/>
      <c r="G364" s="15"/>
      <c r="H364" s="26"/>
    </row>
    <row r="365" spans="1:8" ht="15" customHeight="1" x14ac:dyDescent="0.25">
      <c r="A365" s="27"/>
      <c r="B365" s="27"/>
      <c r="C365" s="27"/>
      <c r="D365" s="27"/>
      <c r="E365" s="15"/>
      <c r="F365" s="26"/>
      <c r="G365" s="15"/>
      <c r="H365" s="26"/>
    </row>
    <row r="366" spans="1:8" ht="15" customHeight="1" x14ac:dyDescent="0.25">
      <c r="A366" s="27"/>
      <c r="B366" s="27"/>
      <c r="C366" s="27"/>
      <c r="D366" s="27"/>
      <c r="E366" s="15"/>
      <c r="F366" s="26"/>
      <c r="G366" s="15"/>
      <c r="H366" s="26"/>
    </row>
    <row r="367" spans="1:8" ht="15" customHeight="1" x14ac:dyDescent="0.25">
      <c r="A367" s="27"/>
      <c r="B367" s="27"/>
      <c r="C367" s="27"/>
      <c r="D367" s="27"/>
      <c r="E367" s="15"/>
      <c r="F367" s="26"/>
      <c r="G367" s="15"/>
      <c r="H367" s="26"/>
    </row>
    <row r="368" spans="1:8" ht="15" customHeight="1" x14ac:dyDescent="0.25">
      <c r="A368" s="27"/>
      <c r="B368" s="27"/>
      <c r="C368" s="27"/>
      <c r="D368" s="27"/>
      <c r="E368" s="15"/>
      <c r="F368" s="26"/>
      <c r="G368" s="15"/>
      <c r="H368" s="26"/>
    </row>
    <row r="369" spans="1:8" ht="15" customHeight="1" x14ac:dyDescent="0.25">
      <c r="A369" s="27"/>
      <c r="B369" s="27"/>
      <c r="C369" s="27"/>
      <c r="D369" s="27"/>
      <c r="E369" s="15"/>
      <c r="F369" s="26"/>
      <c r="G369" s="15"/>
      <c r="H369" s="26"/>
    </row>
    <row r="370" spans="1:8" ht="15" customHeight="1" x14ac:dyDescent="0.25">
      <c r="A370" s="27"/>
      <c r="B370" s="27"/>
      <c r="C370" s="27"/>
      <c r="D370" s="27"/>
      <c r="E370" s="15"/>
      <c r="F370" s="26"/>
      <c r="G370" s="15"/>
      <c r="H370" s="26"/>
    </row>
    <row r="371" spans="1:8" ht="15" customHeight="1" x14ac:dyDescent="0.25">
      <c r="A371" s="27"/>
      <c r="B371" s="27"/>
      <c r="C371" s="27"/>
      <c r="D371" s="27"/>
      <c r="E371" s="15"/>
      <c r="F371" s="26"/>
      <c r="G371" s="15"/>
      <c r="H371" s="26"/>
    </row>
    <row r="372" spans="1:8" ht="15" customHeight="1" x14ac:dyDescent="0.25">
      <c r="A372" s="27"/>
      <c r="B372" s="27"/>
      <c r="C372" s="27"/>
      <c r="D372" s="27"/>
      <c r="E372" s="15"/>
      <c r="F372" s="26"/>
      <c r="G372" s="15"/>
      <c r="H372" s="26"/>
    </row>
    <row r="373" spans="1:8" ht="15" customHeight="1" x14ac:dyDescent="0.25">
      <c r="A373" s="27"/>
      <c r="B373" s="27"/>
      <c r="C373" s="27"/>
      <c r="D373" s="27"/>
      <c r="E373" s="15"/>
      <c r="F373" s="26"/>
      <c r="G373" s="15"/>
      <c r="H373" s="26"/>
    </row>
    <row r="374" spans="1:8" ht="15" customHeight="1" x14ac:dyDescent="0.25">
      <c r="A374" s="27"/>
      <c r="B374" s="27"/>
      <c r="C374" s="27"/>
      <c r="D374" s="27"/>
      <c r="E374" s="15"/>
      <c r="F374" s="26"/>
      <c r="G374" s="15"/>
      <c r="H374" s="26"/>
    </row>
    <row r="375" spans="1:8" ht="15" customHeight="1" x14ac:dyDescent="0.25">
      <c r="A375" s="27"/>
      <c r="B375" s="27"/>
      <c r="C375" s="27"/>
      <c r="D375" s="27"/>
      <c r="E375" s="15"/>
      <c r="F375" s="26"/>
      <c r="G375" s="15"/>
      <c r="H375" s="26"/>
    </row>
    <row r="376" spans="1:8" ht="15" customHeight="1" x14ac:dyDescent="0.25">
      <c r="A376" s="27"/>
      <c r="B376" s="27"/>
      <c r="C376" s="27"/>
      <c r="D376" s="27"/>
      <c r="E376" s="15"/>
      <c r="F376" s="26"/>
      <c r="G376" s="15"/>
      <c r="H376" s="26"/>
    </row>
    <row r="377" spans="1:8" ht="15" customHeight="1" x14ac:dyDescent="0.25">
      <c r="A377" s="27"/>
      <c r="B377" s="27"/>
      <c r="C377" s="27"/>
      <c r="D377" s="27"/>
      <c r="E377" s="15"/>
      <c r="F377" s="26"/>
      <c r="G377" s="15"/>
      <c r="H377" s="26"/>
    </row>
    <row r="378" spans="1:8" ht="15" customHeight="1" x14ac:dyDescent="0.25">
      <c r="A378" s="27"/>
      <c r="B378" s="27"/>
      <c r="C378" s="27"/>
      <c r="D378" s="27"/>
      <c r="E378" s="15"/>
      <c r="F378" s="26"/>
      <c r="G378" s="15"/>
      <c r="H378" s="26"/>
    </row>
    <row r="379" spans="1:8" ht="15" customHeight="1" x14ac:dyDescent="0.25">
      <c r="A379" s="27"/>
      <c r="B379" s="27"/>
      <c r="C379" s="27"/>
      <c r="D379" s="27"/>
      <c r="E379" s="15"/>
      <c r="F379" s="26"/>
      <c r="G379" s="15"/>
      <c r="H379" s="26"/>
    </row>
    <row r="380" spans="1:8" ht="15" customHeight="1" x14ac:dyDescent="0.25">
      <c r="A380" s="27"/>
      <c r="B380" s="27"/>
      <c r="C380" s="27"/>
      <c r="D380" s="27"/>
      <c r="E380" s="15"/>
      <c r="F380" s="26"/>
      <c r="G380" s="15"/>
      <c r="H380" s="26"/>
    </row>
    <row r="381" spans="1:8" ht="15" customHeight="1" x14ac:dyDescent="0.25">
      <c r="A381" s="27"/>
      <c r="B381" s="27"/>
      <c r="C381" s="27"/>
      <c r="D381" s="27"/>
      <c r="E381" s="15"/>
      <c r="F381" s="26"/>
      <c r="G381" s="15"/>
      <c r="H381" s="26"/>
    </row>
    <row r="382" spans="1:8" ht="15" customHeight="1" x14ac:dyDescent="0.25">
      <c r="A382" s="27"/>
      <c r="B382" s="27"/>
      <c r="C382" s="27"/>
      <c r="D382" s="27"/>
      <c r="E382" s="15"/>
      <c r="F382" s="26"/>
      <c r="G382" s="15"/>
      <c r="H382" s="26"/>
    </row>
    <row r="383" spans="1:8" ht="15" customHeight="1" x14ac:dyDescent="0.25">
      <c r="A383" s="27"/>
      <c r="B383" s="27"/>
      <c r="C383" s="27"/>
      <c r="D383" s="27"/>
      <c r="E383" s="15"/>
      <c r="F383" s="26"/>
      <c r="G383" s="15"/>
      <c r="H383" s="26"/>
    </row>
    <row r="384" spans="1:8" ht="15" customHeight="1" x14ac:dyDescent="0.25">
      <c r="A384" s="27"/>
      <c r="B384" s="27"/>
      <c r="C384" s="27"/>
      <c r="D384" s="27"/>
      <c r="E384" s="15"/>
      <c r="F384" s="26"/>
      <c r="G384" s="15"/>
      <c r="H384" s="26"/>
    </row>
    <row r="385" spans="1:8" ht="15" customHeight="1" x14ac:dyDescent="0.25">
      <c r="A385" s="27"/>
      <c r="B385" s="27"/>
      <c r="C385" s="27"/>
      <c r="D385" s="27"/>
      <c r="E385" s="15"/>
      <c r="F385" s="26"/>
      <c r="G385" s="15"/>
      <c r="H385" s="26"/>
    </row>
    <row r="386" spans="1:8" ht="15" customHeight="1" x14ac:dyDescent="0.25">
      <c r="A386" s="27"/>
      <c r="B386" s="27"/>
      <c r="C386" s="27"/>
      <c r="D386" s="27"/>
      <c r="E386" s="15"/>
      <c r="F386" s="26"/>
      <c r="G386" s="15"/>
      <c r="H386" s="26"/>
    </row>
    <row r="387" spans="1:8" ht="15" customHeight="1" x14ac:dyDescent="0.25">
      <c r="A387" s="27"/>
      <c r="B387" s="27"/>
      <c r="C387" s="27"/>
      <c r="D387" s="27"/>
      <c r="E387" s="15"/>
      <c r="F387" s="26"/>
      <c r="G387" s="15"/>
      <c r="H387" s="26"/>
    </row>
    <row r="388" spans="1:8" ht="15" customHeight="1" x14ac:dyDescent="0.25">
      <c r="A388" s="27"/>
      <c r="B388" s="27"/>
      <c r="C388" s="27"/>
      <c r="D388" s="27"/>
      <c r="E388" s="15"/>
      <c r="F388" s="26"/>
      <c r="G388" s="15"/>
      <c r="H388" s="26"/>
    </row>
    <row r="389" spans="1:8" ht="15" customHeight="1" x14ac:dyDescent="0.25">
      <c r="A389" s="27"/>
      <c r="B389" s="27"/>
      <c r="C389" s="27"/>
      <c r="D389" s="27"/>
      <c r="E389" s="15"/>
      <c r="F389" s="26"/>
      <c r="G389" s="15"/>
      <c r="H389" s="26"/>
    </row>
    <row r="390" spans="1:8" ht="15" customHeight="1" x14ac:dyDescent="0.25">
      <c r="A390" s="27"/>
      <c r="B390" s="27"/>
      <c r="C390" s="27"/>
      <c r="D390" s="27"/>
      <c r="E390" s="15"/>
      <c r="F390" s="26"/>
      <c r="G390" s="15"/>
      <c r="H390" s="26"/>
    </row>
    <row r="391" spans="1:8" ht="15" customHeight="1" x14ac:dyDescent="0.25">
      <c r="A391" s="27"/>
      <c r="B391" s="27"/>
      <c r="C391" s="27"/>
      <c r="D391" s="27"/>
      <c r="E391" s="15"/>
      <c r="F391" s="26"/>
      <c r="G391" s="15"/>
      <c r="H391" s="26"/>
    </row>
    <row r="392" spans="1:8" ht="15" customHeight="1" x14ac:dyDescent="0.25">
      <c r="A392" s="27"/>
      <c r="B392" s="27"/>
      <c r="C392" s="27"/>
      <c r="D392" s="27"/>
      <c r="E392" s="15"/>
      <c r="F392" s="26"/>
      <c r="G392" s="15"/>
      <c r="H392" s="26"/>
    </row>
    <row r="393" spans="1:8" ht="15" customHeight="1" x14ac:dyDescent="0.25">
      <c r="A393" s="27"/>
      <c r="B393" s="27"/>
      <c r="C393" s="27"/>
      <c r="D393" s="27"/>
      <c r="E393" s="15"/>
      <c r="F393" s="26"/>
      <c r="G393" s="15"/>
      <c r="H393" s="26"/>
    </row>
    <row r="394" spans="1:8" ht="15" customHeight="1" x14ac:dyDescent="0.25">
      <c r="A394" s="27"/>
      <c r="B394" s="27"/>
      <c r="C394" s="27"/>
      <c r="D394" s="27"/>
      <c r="E394" s="15"/>
      <c r="F394" s="26"/>
      <c r="G394" s="15"/>
      <c r="H394" s="26"/>
    </row>
    <row r="395" spans="1:8" ht="15" customHeight="1" x14ac:dyDescent="0.25">
      <c r="A395" s="27"/>
      <c r="B395" s="27"/>
      <c r="C395" s="27"/>
      <c r="D395" s="27"/>
      <c r="E395" s="15"/>
      <c r="F395" s="26"/>
      <c r="G395" s="15"/>
      <c r="H395" s="26"/>
    </row>
    <row r="396" spans="1:8" ht="15" customHeight="1" x14ac:dyDescent="0.25">
      <c r="A396" s="27"/>
      <c r="B396" s="27"/>
      <c r="C396" s="27"/>
      <c r="D396" s="27"/>
      <c r="E396" s="15"/>
      <c r="F396" s="26"/>
      <c r="G396" s="15"/>
      <c r="H396" s="26"/>
    </row>
    <row r="397" spans="1:8" ht="15" customHeight="1" x14ac:dyDescent="0.25">
      <c r="A397" s="27"/>
      <c r="B397" s="27"/>
      <c r="C397" s="27"/>
      <c r="D397" s="27"/>
      <c r="E397" s="15"/>
      <c r="F397" s="26"/>
      <c r="G397" s="15"/>
      <c r="H397" s="26"/>
    </row>
    <row r="398" spans="1:8" ht="15" customHeight="1" x14ac:dyDescent="0.25">
      <c r="A398" s="27"/>
      <c r="B398" s="27"/>
      <c r="C398" s="27"/>
      <c r="D398" s="27"/>
      <c r="E398" s="15"/>
      <c r="F398" s="26"/>
      <c r="G398" s="15"/>
      <c r="H398" s="26"/>
    </row>
    <row r="399" spans="1:8" ht="15" customHeight="1" x14ac:dyDescent="0.25">
      <c r="A399" s="27"/>
      <c r="B399" s="27"/>
      <c r="C399" s="27"/>
      <c r="D399" s="27"/>
      <c r="E399" s="15"/>
      <c r="F399" s="26"/>
      <c r="G399" s="15"/>
      <c r="H399" s="26"/>
    </row>
    <row r="400" spans="1:8" ht="15" customHeight="1" x14ac:dyDescent="0.25">
      <c r="A400" s="27"/>
      <c r="B400" s="27"/>
      <c r="C400" s="27"/>
      <c r="D400" s="27"/>
      <c r="E400" s="15"/>
      <c r="F400" s="26"/>
      <c r="G400" s="15"/>
      <c r="H400" s="26"/>
    </row>
    <row r="401" spans="1:8" ht="15" customHeight="1" x14ac:dyDescent="0.25">
      <c r="A401" s="27"/>
      <c r="B401" s="27"/>
      <c r="C401" s="27"/>
      <c r="D401" s="27"/>
      <c r="E401" s="15"/>
      <c r="F401" s="26"/>
      <c r="G401" s="15"/>
      <c r="H401" s="26"/>
    </row>
    <row r="402" spans="1:8" ht="15" customHeight="1" x14ac:dyDescent="0.25">
      <c r="A402" s="27"/>
      <c r="B402" s="27"/>
      <c r="C402" s="27"/>
      <c r="D402" s="27"/>
      <c r="E402" s="15"/>
      <c r="F402" s="26"/>
      <c r="G402" s="15"/>
      <c r="H402" s="26"/>
    </row>
    <row r="403" spans="1:8" ht="15" customHeight="1" x14ac:dyDescent="0.25">
      <c r="A403" s="27"/>
      <c r="B403" s="27"/>
      <c r="C403" s="27"/>
      <c r="D403" s="27"/>
      <c r="E403" s="15"/>
      <c r="F403" s="26"/>
      <c r="G403" s="15"/>
      <c r="H403" s="26"/>
    </row>
    <row r="404" spans="1:8" ht="15" customHeight="1" x14ac:dyDescent="0.25">
      <c r="A404" s="27"/>
      <c r="B404" s="27"/>
      <c r="C404" s="27"/>
      <c r="D404" s="27"/>
      <c r="E404" s="15"/>
      <c r="F404" s="26"/>
      <c r="G404" s="15"/>
      <c r="H404" s="26"/>
    </row>
    <row r="405" spans="1:8" ht="15" customHeight="1" x14ac:dyDescent="0.25">
      <c r="A405" s="27"/>
      <c r="B405" s="27"/>
      <c r="C405" s="27"/>
      <c r="D405" s="27"/>
      <c r="E405" s="15"/>
      <c r="F405" s="26"/>
      <c r="G405" s="15"/>
      <c r="H405" s="26"/>
    </row>
    <row r="406" spans="1:8" ht="15" customHeight="1" x14ac:dyDescent="0.25">
      <c r="A406" s="27"/>
      <c r="B406" s="27"/>
      <c r="C406" s="27"/>
      <c r="D406" s="27"/>
      <c r="E406" s="15"/>
      <c r="F406" s="26"/>
      <c r="G406" s="15"/>
      <c r="H406" s="26"/>
    </row>
    <row r="407" spans="1:8" ht="15" customHeight="1" x14ac:dyDescent="0.25">
      <c r="A407" s="27"/>
      <c r="B407" s="27"/>
      <c r="C407" s="27"/>
      <c r="D407" s="27"/>
      <c r="E407" s="15"/>
      <c r="F407" s="26"/>
      <c r="G407" s="15"/>
      <c r="H407" s="26"/>
    </row>
    <row r="408" spans="1:8" ht="15" customHeight="1" x14ac:dyDescent="0.25">
      <c r="A408" s="27"/>
      <c r="B408" s="27"/>
      <c r="C408" s="27"/>
      <c r="D408" s="27"/>
      <c r="E408" s="15"/>
      <c r="F408" s="26"/>
      <c r="G408" s="15"/>
      <c r="H408" s="26"/>
    </row>
    <row r="409" spans="1:8" ht="15" customHeight="1" x14ac:dyDescent="0.25">
      <c r="A409" s="27"/>
      <c r="B409" s="27"/>
      <c r="C409" s="27"/>
      <c r="D409" s="27"/>
      <c r="E409" s="15"/>
      <c r="F409" s="26"/>
      <c r="G409" s="15"/>
      <c r="H409" s="26"/>
    </row>
    <row r="410" spans="1:8" ht="15" customHeight="1" x14ac:dyDescent="0.25">
      <c r="A410" s="27"/>
      <c r="B410" s="27"/>
      <c r="C410" s="27"/>
      <c r="D410" s="27"/>
      <c r="E410" s="15"/>
      <c r="F410" s="26"/>
      <c r="G410" s="15"/>
      <c r="H410" s="26"/>
    </row>
    <row r="411" spans="1:8" ht="15" customHeight="1" x14ac:dyDescent="0.25">
      <c r="A411" s="27"/>
      <c r="B411" s="27"/>
      <c r="C411" s="27"/>
      <c r="D411" s="27"/>
      <c r="E411" s="15"/>
      <c r="F411" s="26"/>
      <c r="G411" s="15"/>
      <c r="H411" s="26"/>
    </row>
    <row r="412" spans="1:8" ht="15" customHeight="1" x14ac:dyDescent="0.25">
      <c r="A412" s="27"/>
      <c r="B412" s="27"/>
      <c r="C412" s="27"/>
      <c r="D412" s="27"/>
      <c r="E412" s="15"/>
      <c r="F412" s="26"/>
      <c r="G412" s="15"/>
      <c r="H412" s="26"/>
    </row>
    <row r="413" spans="1:8" ht="15" customHeight="1" x14ac:dyDescent="0.25">
      <c r="A413" s="27"/>
      <c r="B413" s="27"/>
      <c r="C413" s="27"/>
      <c r="D413" s="27"/>
      <c r="E413" s="15"/>
      <c r="F413" s="26"/>
      <c r="G413" s="15"/>
      <c r="H413" s="26"/>
    </row>
    <row r="414" spans="1:8" ht="15" customHeight="1" x14ac:dyDescent="0.25">
      <c r="A414" s="27"/>
      <c r="B414" s="27"/>
      <c r="C414" s="27"/>
      <c r="D414" s="27"/>
      <c r="E414" s="15"/>
      <c r="F414" s="26"/>
      <c r="G414" s="15"/>
      <c r="H414" s="26"/>
    </row>
    <row r="415" spans="1:8" ht="15" customHeight="1" x14ac:dyDescent="0.25">
      <c r="A415" s="27"/>
      <c r="B415" s="27"/>
      <c r="C415" s="27"/>
      <c r="D415" s="27"/>
      <c r="E415" s="15"/>
      <c r="F415" s="26"/>
      <c r="G415" s="15"/>
      <c r="H415" s="26"/>
    </row>
    <row r="416" spans="1:8" ht="15" customHeight="1" x14ac:dyDescent="0.25">
      <c r="A416" s="27"/>
      <c r="B416" s="27"/>
      <c r="C416" s="27"/>
      <c r="D416" s="27"/>
      <c r="E416" s="15"/>
      <c r="F416" s="26"/>
      <c r="G416" s="15"/>
      <c r="H416" s="26"/>
    </row>
    <row r="417" spans="1:8" ht="15" customHeight="1" x14ac:dyDescent="0.25">
      <c r="A417" s="27"/>
      <c r="B417" s="27"/>
      <c r="C417" s="27"/>
      <c r="D417" s="27"/>
      <c r="E417" s="15"/>
      <c r="F417" s="26"/>
      <c r="G417" s="15"/>
      <c r="H417" s="26"/>
    </row>
    <row r="418" spans="1:8" ht="15" customHeight="1" x14ac:dyDescent="0.25">
      <c r="A418" s="27"/>
      <c r="B418" s="27"/>
      <c r="C418" s="27"/>
      <c r="D418" s="27"/>
      <c r="E418" s="15"/>
      <c r="F418" s="26"/>
      <c r="G418" s="15"/>
      <c r="H418" s="26"/>
    </row>
    <row r="419" spans="1:8" ht="15" customHeight="1" x14ac:dyDescent="0.25">
      <c r="A419" s="27"/>
      <c r="B419" s="27"/>
      <c r="C419" s="27"/>
      <c r="D419" s="27"/>
      <c r="E419" s="15"/>
      <c r="F419" s="26"/>
      <c r="G419" s="15"/>
      <c r="H419" s="26"/>
    </row>
    <row r="420" spans="1:8" ht="15" customHeight="1" x14ac:dyDescent="0.25">
      <c r="A420" s="27"/>
      <c r="B420" s="27"/>
      <c r="C420" s="27"/>
      <c r="D420" s="27"/>
      <c r="E420" s="15"/>
      <c r="F420" s="26"/>
      <c r="G420" s="15"/>
      <c r="H420" s="26"/>
    </row>
    <row r="421" spans="1:8" ht="15" customHeight="1" x14ac:dyDescent="0.25">
      <c r="A421" s="27"/>
      <c r="B421" s="27"/>
      <c r="C421" s="27"/>
      <c r="D421" s="27"/>
      <c r="E421" s="15"/>
      <c r="F421" s="26"/>
      <c r="G421" s="15"/>
      <c r="H421" s="26"/>
    </row>
    <row r="422" spans="1:8" ht="15" customHeight="1" x14ac:dyDescent="0.25">
      <c r="A422" s="27"/>
      <c r="B422" s="27"/>
      <c r="C422" s="27"/>
      <c r="D422" s="27"/>
      <c r="E422" s="15"/>
      <c r="F422" s="26"/>
      <c r="G422" s="15"/>
      <c r="H422" s="26"/>
    </row>
    <row r="423" spans="1:8" ht="15" customHeight="1" x14ac:dyDescent="0.25">
      <c r="A423" s="27"/>
      <c r="B423" s="27"/>
      <c r="C423" s="27"/>
      <c r="D423" s="27"/>
      <c r="E423" s="15"/>
      <c r="F423" s="26"/>
      <c r="G423" s="15"/>
      <c r="H423" s="26"/>
    </row>
    <row r="424" spans="1:8" ht="15" customHeight="1" x14ac:dyDescent="0.25">
      <c r="A424" s="27"/>
      <c r="B424" s="27"/>
      <c r="C424" s="27"/>
      <c r="D424" s="27"/>
      <c r="E424" s="15"/>
      <c r="F424" s="26"/>
      <c r="G424" s="15"/>
      <c r="H424" s="26"/>
    </row>
    <row r="425" spans="1:8" ht="15" customHeight="1" x14ac:dyDescent="0.25">
      <c r="A425" s="27"/>
      <c r="B425" s="27"/>
      <c r="C425" s="27"/>
      <c r="D425" s="27"/>
      <c r="E425" s="15"/>
      <c r="F425" s="26"/>
      <c r="G425" s="15"/>
      <c r="H425" s="26"/>
    </row>
    <row r="426" spans="1:8" ht="15" customHeight="1" x14ac:dyDescent="0.25">
      <c r="A426" s="27"/>
      <c r="B426" s="27"/>
      <c r="C426" s="27"/>
      <c r="D426" s="27"/>
      <c r="E426" s="15"/>
      <c r="F426" s="26"/>
      <c r="G426" s="15"/>
      <c r="H426" s="26"/>
    </row>
    <row r="427" spans="1:8" ht="15" customHeight="1" x14ac:dyDescent="0.25">
      <c r="A427" s="27"/>
      <c r="B427" s="27"/>
      <c r="C427" s="27"/>
      <c r="D427" s="27"/>
      <c r="E427" s="15"/>
      <c r="F427" s="26"/>
      <c r="G427" s="15"/>
      <c r="H427" s="26"/>
    </row>
    <row r="428" spans="1:8" ht="15" customHeight="1" x14ac:dyDescent="0.25">
      <c r="A428" s="27"/>
      <c r="B428" s="27"/>
      <c r="C428" s="27"/>
      <c r="D428" s="27"/>
      <c r="E428" s="15"/>
      <c r="F428" s="26"/>
      <c r="G428" s="15"/>
      <c r="H428" s="26"/>
    </row>
    <row r="429" spans="1:8" ht="15" customHeight="1" x14ac:dyDescent="0.25">
      <c r="A429" s="27"/>
      <c r="B429" s="27"/>
      <c r="C429" s="27"/>
      <c r="D429" s="27"/>
      <c r="E429" s="15"/>
      <c r="F429" s="26"/>
      <c r="G429" s="15"/>
      <c r="H429" s="26"/>
    </row>
    <row r="430" spans="1:8" ht="15" customHeight="1" x14ac:dyDescent="0.25">
      <c r="A430" s="27"/>
      <c r="B430" s="27"/>
      <c r="C430" s="27"/>
      <c r="D430" s="27"/>
      <c r="E430" s="15"/>
      <c r="F430" s="26"/>
      <c r="G430" s="15"/>
      <c r="H430" s="26"/>
    </row>
    <row r="431" spans="1:8" ht="15" customHeight="1" x14ac:dyDescent="0.25">
      <c r="A431" s="27"/>
      <c r="B431" s="27"/>
      <c r="C431" s="27"/>
      <c r="D431" s="27"/>
      <c r="E431" s="15"/>
      <c r="F431" s="26"/>
      <c r="G431" s="15"/>
      <c r="H431" s="26"/>
    </row>
    <row r="432" spans="1:8" ht="15" customHeight="1" x14ac:dyDescent="0.25">
      <c r="A432" s="27"/>
      <c r="B432" s="27"/>
      <c r="C432" s="27"/>
      <c r="D432" s="27"/>
      <c r="E432" s="15"/>
      <c r="F432" s="26"/>
      <c r="G432" s="15"/>
      <c r="H432" s="26"/>
    </row>
    <row r="433" spans="1:8" ht="15" customHeight="1" x14ac:dyDescent="0.25">
      <c r="A433" s="27"/>
      <c r="B433" s="27"/>
      <c r="C433" s="27"/>
      <c r="D433" s="27"/>
      <c r="E433" s="15"/>
      <c r="F433" s="26"/>
      <c r="G433" s="15"/>
      <c r="H433" s="26"/>
    </row>
    <row r="434" spans="1:8" ht="15" customHeight="1" x14ac:dyDescent="0.25">
      <c r="A434" s="27"/>
      <c r="B434" s="27"/>
      <c r="C434" s="27"/>
      <c r="D434" s="27"/>
      <c r="E434" s="15"/>
      <c r="F434" s="26"/>
      <c r="G434" s="15"/>
      <c r="H434" s="26"/>
    </row>
    <row r="435" spans="1:8" ht="15" customHeight="1" x14ac:dyDescent="0.25">
      <c r="A435" s="27"/>
      <c r="B435" s="27"/>
      <c r="C435" s="27"/>
      <c r="D435" s="27"/>
      <c r="E435" s="15"/>
      <c r="F435" s="26"/>
      <c r="G435" s="15"/>
      <c r="H435" s="26"/>
    </row>
    <row r="436" spans="1:8" ht="15" customHeight="1" x14ac:dyDescent="0.25">
      <c r="A436" s="27"/>
      <c r="B436" s="27"/>
      <c r="C436" s="27"/>
      <c r="D436" s="27"/>
      <c r="E436" s="15"/>
      <c r="F436" s="26"/>
      <c r="G436" s="15"/>
      <c r="H436" s="26"/>
    </row>
    <row r="437" spans="1:8" ht="15" customHeight="1" x14ac:dyDescent="0.25">
      <c r="A437" s="27"/>
      <c r="B437" s="27"/>
      <c r="C437" s="27"/>
      <c r="D437" s="27"/>
      <c r="E437" s="15"/>
      <c r="F437" s="26"/>
      <c r="G437" s="15"/>
      <c r="H437" s="26"/>
    </row>
    <row r="438" spans="1:8" ht="15" customHeight="1" x14ac:dyDescent="0.25">
      <c r="A438" s="27"/>
      <c r="B438" s="27"/>
      <c r="C438" s="27"/>
      <c r="D438" s="27"/>
      <c r="E438" s="15"/>
      <c r="F438" s="26"/>
      <c r="G438" s="15"/>
      <c r="H438" s="26"/>
    </row>
    <row r="439" spans="1:8" ht="15" customHeight="1" x14ac:dyDescent="0.25">
      <c r="A439" s="27"/>
      <c r="B439" s="27"/>
      <c r="C439" s="27"/>
      <c r="D439" s="27"/>
      <c r="E439" s="15"/>
      <c r="F439" s="26"/>
      <c r="G439" s="15"/>
      <c r="H439" s="26"/>
    </row>
    <row r="440" spans="1:8" ht="15" customHeight="1" x14ac:dyDescent="0.25">
      <c r="A440" s="27"/>
      <c r="B440" s="27"/>
      <c r="C440" s="27"/>
      <c r="D440" s="27"/>
      <c r="E440" s="15"/>
      <c r="F440" s="26"/>
      <c r="G440" s="15"/>
      <c r="H440" s="26"/>
    </row>
    <row r="441" spans="1:8" ht="15" customHeight="1" x14ac:dyDescent="0.25">
      <c r="A441" s="27"/>
      <c r="B441" s="27"/>
      <c r="C441" s="27"/>
      <c r="D441" s="27"/>
      <c r="E441" s="15"/>
      <c r="F441" s="26"/>
      <c r="G441" s="15"/>
      <c r="H441" s="26"/>
    </row>
    <row r="442" spans="1:8" ht="15" customHeight="1" x14ac:dyDescent="0.25">
      <c r="A442" s="27"/>
      <c r="B442" s="27"/>
      <c r="C442" s="27"/>
      <c r="D442" s="27"/>
      <c r="E442" s="15"/>
      <c r="F442" s="26"/>
      <c r="G442" s="15"/>
      <c r="H442" s="26"/>
    </row>
    <row r="443" spans="1:8" ht="15" customHeight="1" x14ac:dyDescent="0.25">
      <c r="A443" s="27"/>
      <c r="B443" s="27"/>
      <c r="C443" s="27"/>
      <c r="D443" s="27"/>
      <c r="E443" s="15"/>
      <c r="F443" s="26"/>
      <c r="G443" s="15"/>
      <c r="H443" s="26"/>
    </row>
    <row r="444" spans="1:8" ht="15" customHeight="1" x14ac:dyDescent="0.25">
      <c r="A444" s="27"/>
      <c r="B444" s="27"/>
      <c r="C444" s="27"/>
      <c r="D444" s="27"/>
      <c r="E444" s="15"/>
      <c r="F444" s="26"/>
      <c r="G444" s="15"/>
      <c r="H444" s="26"/>
    </row>
    <row r="445" spans="1:8" ht="15" customHeight="1" x14ac:dyDescent="0.25">
      <c r="A445" s="27"/>
      <c r="B445" s="27"/>
      <c r="C445" s="27"/>
      <c r="D445" s="27"/>
      <c r="E445" s="15"/>
      <c r="F445" s="26"/>
      <c r="G445" s="15"/>
      <c r="H445" s="26"/>
    </row>
    <row r="446" spans="1:8" ht="15" customHeight="1" x14ac:dyDescent="0.25">
      <c r="A446" s="27"/>
      <c r="B446" s="27"/>
      <c r="C446" s="27"/>
      <c r="D446" s="27"/>
      <c r="E446" s="15"/>
      <c r="F446" s="26"/>
      <c r="G446" s="15"/>
      <c r="H446" s="26"/>
    </row>
    <row r="447" spans="1:8" ht="15" customHeight="1" x14ac:dyDescent="0.25">
      <c r="A447" s="27"/>
      <c r="B447" s="27"/>
      <c r="C447" s="27"/>
      <c r="D447" s="27"/>
      <c r="E447" s="15"/>
      <c r="F447" s="26"/>
      <c r="G447" s="15"/>
      <c r="H447" s="26"/>
    </row>
    <row r="448" spans="1:8" ht="15" customHeight="1" x14ac:dyDescent="0.25">
      <c r="A448" s="27"/>
      <c r="B448" s="27"/>
      <c r="C448" s="27"/>
      <c r="D448" s="27"/>
      <c r="E448" s="15"/>
      <c r="F448" s="26"/>
      <c r="G448" s="15"/>
      <c r="H448" s="26"/>
    </row>
    <row r="449" spans="1:8" ht="15" customHeight="1" x14ac:dyDescent="0.25">
      <c r="A449" s="27"/>
      <c r="B449" s="27"/>
      <c r="C449" s="27"/>
      <c r="D449" s="27"/>
      <c r="E449" s="15"/>
      <c r="F449" s="26"/>
      <c r="G449" s="15"/>
      <c r="H449" s="26"/>
    </row>
    <row r="450" spans="1:8" ht="15" customHeight="1" x14ac:dyDescent="0.25">
      <c r="A450" s="27"/>
      <c r="B450" s="27"/>
      <c r="C450" s="27"/>
      <c r="D450" s="27"/>
      <c r="E450" s="15"/>
      <c r="F450" s="26"/>
      <c r="G450" s="15"/>
      <c r="H450" s="26"/>
    </row>
    <row r="451" spans="1:8" ht="15" customHeight="1" x14ac:dyDescent="0.25">
      <c r="A451" s="27"/>
      <c r="B451" s="27"/>
      <c r="C451" s="27"/>
      <c r="D451" s="27"/>
      <c r="E451" s="15"/>
      <c r="F451" s="26"/>
      <c r="G451" s="15"/>
      <c r="H451" s="26"/>
    </row>
    <row r="452" spans="1:8" ht="15" customHeight="1" x14ac:dyDescent="0.25">
      <c r="A452" s="27"/>
      <c r="B452" s="27"/>
      <c r="C452" s="27"/>
      <c r="D452" s="27"/>
      <c r="E452" s="15"/>
      <c r="F452" s="26"/>
      <c r="G452" s="15"/>
      <c r="H452" s="26"/>
    </row>
    <row r="453" spans="1:8" ht="15" customHeight="1" x14ac:dyDescent="0.25">
      <c r="A453" s="27"/>
      <c r="B453" s="27"/>
      <c r="C453" s="27"/>
      <c r="D453" s="27"/>
      <c r="E453" s="15"/>
      <c r="F453" s="26"/>
      <c r="G453" s="15"/>
      <c r="H453" s="26"/>
    </row>
    <row r="454" spans="1:8" ht="15" customHeight="1" x14ac:dyDescent="0.25">
      <c r="A454" s="27"/>
      <c r="B454" s="27"/>
      <c r="C454" s="27"/>
      <c r="D454" s="27"/>
      <c r="E454" s="15"/>
      <c r="F454" s="26"/>
      <c r="G454" s="15"/>
      <c r="H454" s="26"/>
    </row>
    <row r="455" spans="1:8" ht="15" customHeight="1" x14ac:dyDescent="0.25">
      <c r="A455" s="27"/>
      <c r="B455" s="27"/>
      <c r="C455" s="27"/>
      <c r="D455" s="27"/>
      <c r="E455" s="15"/>
      <c r="F455" s="26"/>
      <c r="G455" s="15"/>
      <c r="H455" s="26"/>
    </row>
    <row r="456" spans="1:8" ht="15" customHeight="1" x14ac:dyDescent="0.25">
      <c r="A456" s="27"/>
      <c r="B456" s="27"/>
      <c r="C456" s="27"/>
      <c r="D456" s="27"/>
      <c r="E456" s="15"/>
      <c r="F456" s="26"/>
      <c r="G456" s="15"/>
      <c r="H456" s="26"/>
    </row>
    <row r="457" spans="1:8" ht="15" customHeight="1" x14ac:dyDescent="0.25">
      <c r="A457" s="27"/>
      <c r="B457" s="27"/>
      <c r="C457" s="27"/>
      <c r="D457" s="27"/>
      <c r="E457" s="15"/>
      <c r="F457" s="26"/>
      <c r="G457" s="15"/>
      <c r="H457" s="26"/>
    </row>
    <row r="458" spans="1:8" ht="15" customHeight="1" x14ac:dyDescent="0.25">
      <c r="A458" s="27"/>
      <c r="B458" s="27"/>
      <c r="C458" s="27"/>
      <c r="D458" s="27"/>
      <c r="E458" s="15"/>
      <c r="F458" s="26"/>
      <c r="G458" s="15"/>
      <c r="H458" s="26"/>
    </row>
    <row r="459" spans="1:8" ht="15" customHeight="1" x14ac:dyDescent="0.25">
      <c r="A459" s="27"/>
      <c r="B459" s="27"/>
      <c r="C459" s="27"/>
      <c r="D459" s="27"/>
      <c r="E459" s="15"/>
      <c r="F459" s="26"/>
      <c r="G459" s="15"/>
      <c r="H459" s="26"/>
    </row>
    <row r="460" spans="1:8" ht="15" customHeight="1" x14ac:dyDescent="0.25">
      <c r="A460" s="27"/>
      <c r="B460" s="27"/>
      <c r="C460" s="27"/>
      <c r="D460" s="27"/>
      <c r="E460" s="15"/>
      <c r="F460" s="26"/>
      <c r="G460" s="15"/>
      <c r="H460" s="26"/>
    </row>
    <row r="461" spans="1:8" ht="15" customHeight="1" x14ac:dyDescent="0.25">
      <c r="A461" s="27"/>
      <c r="B461" s="27"/>
      <c r="C461" s="27"/>
      <c r="D461" s="27"/>
      <c r="E461" s="15"/>
      <c r="F461" s="26"/>
      <c r="G461" s="15"/>
      <c r="H461" s="26"/>
    </row>
    <row r="462" spans="1:8" ht="15" customHeight="1" x14ac:dyDescent="0.25">
      <c r="A462" s="27"/>
      <c r="B462" s="27"/>
      <c r="C462" s="27"/>
      <c r="D462" s="27"/>
      <c r="E462" s="15"/>
      <c r="F462" s="26"/>
      <c r="G462" s="15"/>
      <c r="H462" s="26"/>
    </row>
    <row r="463" spans="1:8" ht="15" customHeight="1" x14ac:dyDescent="0.25">
      <c r="A463" s="27"/>
      <c r="B463" s="27"/>
      <c r="C463" s="27"/>
      <c r="D463" s="27"/>
      <c r="E463" s="15"/>
      <c r="F463" s="26"/>
      <c r="G463" s="15"/>
      <c r="H463" s="26"/>
    </row>
    <row r="464" spans="1:8" ht="15" customHeight="1" x14ac:dyDescent="0.25">
      <c r="A464" s="27"/>
      <c r="B464" s="27"/>
      <c r="C464" s="27"/>
      <c r="D464" s="27"/>
      <c r="E464" s="15"/>
      <c r="F464" s="26"/>
      <c r="G464" s="15"/>
      <c r="H464" s="26"/>
    </row>
    <row r="465" spans="1:8" ht="15" customHeight="1" x14ac:dyDescent="0.25">
      <c r="A465" s="27"/>
      <c r="B465" s="27"/>
      <c r="C465" s="27"/>
      <c r="D465" s="27"/>
      <c r="E465" s="15"/>
      <c r="F465" s="26"/>
      <c r="G465" s="15"/>
      <c r="H465" s="26"/>
    </row>
    <row r="466" spans="1:8" ht="15" customHeight="1" x14ac:dyDescent="0.25">
      <c r="A466" s="27"/>
      <c r="B466" s="27"/>
      <c r="C466" s="27"/>
      <c r="D466" s="27"/>
      <c r="E466" s="15"/>
      <c r="F466" s="26"/>
      <c r="G466" s="15"/>
      <c r="H466" s="26"/>
    </row>
    <row r="467" spans="1:8" ht="15" customHeight="1" x14ac:dyDescent="0.25">
      <c r="A467" s="27"/>
      <c r="B467" s="27"/>
      <c r="C467" s="27"/>
      <c r="D467" s="27"/>
      <c r="E467" s="15"/>
      <c r="F467" s="26"/>
      <c r="G467" s="15"/>
      <c r="H467" s="26"/>
    </row>
    <row r="468" spans="1:8" ht="15" customHeight="1" x14ac:dyDescent="0.25">
      <c r="A468" s="27"/>
      <c r="B468" s="27"/>
      <c r="C468" s="27"/>
      <c r="D468" s="27"/>
      <c r="E468" s="15"/>
      <c r="F468" s="26"/>
      <c r="G468" s="15"/>
      <c r="H468" s="26"/>
    </row>
    <row r="469" spans="1:8" ht="15" customHeight="1" x14ac:dyDescent="0.25">
      <c r="A469" s="27"/>
      <c r="B469" s="27"/>
      <c r="C469" s="27"/>
      <c r="D469" s="27"/>
      <c r="E469" s="15"/>
      <c r="F469" s="26"/>
      <c r="G469" s="15"/>
      <c r="H469" s="26"/>
    </row>
    <row r="470" spans="1:8" ht="15" customHeight="1" x14ac:dyDescent="0.25">
      <c r="A470" s="27"/>
      <c r="B470" s="27"/>
      <c r="C470" s="27"/>
      <c r="D470" s="27"/>
      <c r="E470" s="15"/>
      <c r="F470" s="26"/>
      <c r="G470" s="15"/>
      <c r="H470" s="26"/>
    </row>
    <row r="471" spans="1:8" ht="15" customHeight="1" x14ac:dyDescent="0.25">
      <c r="A471" s="27"/>
      <c r="B471" s="27"/>
      <c r="C471" s="27"/>
      <c r="D471" s="27"/>
      <c r="E471" s="15"/>
      <c r="F471" s="26"/>
      <c r="G471" s="15"/>
      <c r="H471" s="26"/>
    </row>
    <row r="472" spans="1:8" ht="15" customHeight="1" x14ac:dyDescent="0.25">
      <c r="A472" s="27"/>
      <c r="B472" s="27"/>
      <c r="C472" s="27"/>
      <c r="D472" s="27"/>
      <c r="E472" s="15"/>
      <c r="F472" s="26"/>
      <c r="G472" s="15"/>
      <c r="H472" s="26"/>
    </row>
    <row r="473" spans="1:8" ht="15" customHeight="1" x14ac:dyDescent="0.25">
      <c r="A473" s="27"/>
      <c r="B473" s="27"/>
      <c r="C473" s="27"/>
      <c r="D473" s="27"/>
      <c r="E473" s="15"/>
      <c r="F473" s="26"/>
      <c r="G473" s="15"/>
      <c r="H473" s="26"/>
    </row>
    <row r="474" spans="1:8" ht="15" customHeight="1" x14ac:dyDescent="0.25">
      <c r="A474" s="27"/>
      <c r="B474" s="27"/>
      <c r="C474" s="27"/>
      <c r="D474" s="27"/>
      <c r="E474" s="15"/>
      <c r="F474" s="26"/>
      <c r="G474" s="15"/>
      <c r="H474" s="26"/>
    </row>
    <row r="475" spans="1:8" ht="15" customHeight="1" x14ac:dyDescent="0.25">
      <c r="A475" s="27"/>
      <c r="B475" s="27"/>
      <c r="C475" s="27"/>
      <c r="D475" s="27"/>
      <c r="E475" s="15"/>
      <c r="F475" s="26"/>
      <c r="G475" s="15"/>
      <c r="H475" s="26"/>
    </row>
    <row r="476" spans="1:8" ht="15" customHeight="1" x14ac:dyDescent="0.25">
      <c r="A476" s="27"/>
      <c r="B476" s="27"/>
      <c r="C476" s="27"/>
      <c r="D476" s="27"/>
      <c r="E476" s="15"/>
      <c r="F476" s="26"/>
      <c r="G476" s="15"/>
      <c r="H476" s="26"/>
    </row>
    <row r="477" spans="1:8" ht="15" customHeight="1" x14ac:dyDescent="0.25">
      <c r="A477" s="27"/>
      <c r="B477" s="27"/>
      <c r="C477" s="27"/>
      <c r="D477" s="27"/>
      <c r="E477" s="15"/>
      <c r="F477" s="26"/>
      <c r="G477" s="15"/>
      <c r="H477" s="26"/>
    </row>
    <row r="478" spans="1:8" ht="15" customHeight="1" x14ac:dyDescent="0.25">
      <c r="A478" s="27"/>
      <c r="B478" s="27"/>
      <c r="C478" s="27"/>
      <c r="D478" s="27"/>
      <c r="E478" s="15"/>
      <c r="F478" s="26"/>
      <c r="G478" s="15"/>
      <c r="H478" s="26"/>
    </row>
    <row r="479" spans="1:8" ht="15" customHeight="1" x14ac:dyDescent="0.25">
      <c r="A479" s="27"/>
      <c r="B479" s="27"/>
      <c r="C479" s="27"/>
      <c r="D479" s="27"/>
      <c r="E479" s="15"/>
      <c r="F479" s="26"/>
      <c r="G479" s="15"/>
      <c r="H479" s="26"/>
    </row>
    <row r="480" spans="1:8" ht="15" customHeight="1" x14ac:dyDescent="0.25">
      <c r="A480" s="27"/>
      <c r="B480" s="27"/>
      <c r="C480" s="27"/>
      <c r="D480" s="27"/>
      <c r="E480" s="15"/>
      <c r="F480" s="26"/>
      <c r="G480" s="15"/>
      <c r="H480" s="26"/>
    </row>
    <row r="481" spans="1:8" ht="15" customHeight="1" x14ac:dyDescent="0.25">
      <c r="A481" s="27"/>
      <c r="B481" s="27"/>
      <c r="C481" s="27"/>
      <c r="D481" s="27"/>
      <c r="E481" s="15"/>
      <c r="F481" s="26"/>
      <c r="G481" s="15"/>
      <c r="H481" s="26"/>
    </row>
    <row r="482" spans="1:8" ht="15" customHeight="1" x14ac:dyDescent="0.25">
      <c r="A482" s="27"/>
      <c r="B482" s="27"/>
      <c r="C482" s="27"/>
      <c r="D482" s="27"/>
      <c r="E482" s="15"/>
      <c r="F482" s="26"/>
      <c r="G482" s="15"/>
      <c r="H482" s="26"/>
    </row>
    <row r="483" spans="1:8" ht="15" customHeight="1" x14ac:dyDescent="0.25">
      <c r="A483" s="27"/>
      <c r="B483" s="27"/>
      <c r="C483" s="27"/>
      <c r="D483" s="27"/>
      <c r="E483" s="15"/>
      <c r="F483" s="26"/>
      <c r="G483" s="15"/>
      <c r="H483" s="26"/>
    </row>
    <row r="484" spans="1:8" ht="15" customHeight="1" x14ac:dyDescent="0.25">
      <c r="A484" s="27"/>
      <c r="B484" s="27"/>
      <c r="C484" s="27"/>
      <c r="D484" s="27"/>
      <c r="E484" s="15"/>
      <c r="F484" s="26"/>
      <c r="G484" s="15"/>
      <c r="H484" s="26"/>
    </row>
    <row r="485" spans="1:8" ht="15" customHeight="1" x14ac:dyDescent="0.25">
      <c r="A485" s="27"/>
      <c r="B485" s="27"/>
      <c r="C485" s="27"/>
      <c r="D485" s="27"/>
      <c r="E485" s="15"/>
      <c r="F485" s="26"/>
      <c r="G485" s="15"/>
      <c r="H485" s="26"/>
    </row>
    <row r="486" spans="1:8" ht="15" customHeight="1" x14ac:dyDescent="0.25">
      <c r="A486" s="27"/>
      <c r="B486" s="27"/>
      <c r="C486" s="27"/>
      <c r="D486" s="27"/>
      <c r="E486" s="15"/>
      <c r="F486" s="26"/>
      <c r="G486" s="15"/>
      <c r="H486" s="26"/>
    </row>
    <row r="487" spans="1:8" ht="15" customHeight="1" x14ac:dyDescent="0.25">
      <c r="A487" s="27"/>
      <c r="B487" s="27"/>
      <c r="C487" s="27"/>
      <c r="D487" s="27"/>
      <c r="E487" s="15"/>
      <c r="F487" s="26"/>
      <c r="G487" s="15"/>
      <c r="H487" s="26"/>
    </row>
    <row r="488" spans="1:8" ht="15" customHeight="1" x14ac:dyDescent="0.25">
      <c r="A488" s="27"/>
      <c r="B488" s="27"/>
      <c r="C488" s="27"/>
      <c r="D488" s="27"/>
      <c r="E488" s="15"/>
      <c r="F488" s="26"/>
      <c r="G488" s="15"/>
      <c r="H488" s="26"/>
    </row>
    <row r="489" spans="1:8" ht="15" customHeight="1" x14ac:dyDescent="0.25">
      <c r="A489" s="27"/>
      <c r="B489" s="27"/>
      <c r="C489" s="27"/>
      <c r="D489" s="27"/>
      <c r="E489" s="15"/>
      <c r="F489" s="26"/>
      <c r="G489" s="15"/>
      <c r="H489" s="26"/>
    </row>
    <row r="490" spans="1:8" ht="15" customHeight="1" x14ac:dyDescent="0.25">
      <c r="A490" s="27"/>
      <c r="B490" s="27"/>
      <c r="C490" s="27"/>
      <c r="D490" s="27"/>
      <c r="E490" s="15"/>
      <c r="F490" s="26"/>
      <c r="G490" s="15"/>
      <c r="H490" s="26"/>
    </row>
    <row r="491" spans="1:8" ht="15" customHeight="1" x14ac:dyDescent="0.25">
      <c r="A491" s="27"/>
      <c r="B491" s="27"/>
      <c r="C491" s="27"/>
      <c r="D491" s="27"/>
      <c r="E491" s="15"/>
      <c r="F491" s="26"/>
      <c r="G491" s="15"/>
      <c r="H491" s="26"/>
    </row>
    <row r="492" spans="1:8" ht="15" customHeight="1" x14ac:dyDescent="0.25">
      <c r="A492" s="27"/>
      <c r="B492" s="27"/>
      <c r="C492" s="27"/>
      <c r="D492" s="27"/>
      <c r="E492" s="15"/>
      <c r="F492" s="26"/>
      <c r="G492" s="15"/>
      <c r="H492" s="26"/>
    </row>
    <row r="493" spans="1:8" ht="15" customHeight="1" x14ac:dyDescent="0.25">
      <c r="A493" s="27"/>
      <c r="B493" s="27"/>
      <c r="C493" s="27"/>
      <c r="D493" s="27"/>
      <c r="E493" s="15"/>
      <c r="F493" s="26"/>
      <c r="G493" s="15"/>
      <c r="H493" s="26"/>
    </row>
    <row r="494" spans="1:8" ht="15" customHeight="1" x14ac:dyDescent="0.25">
      <c r="A494" s="27"/>
      <c r="B494" s="27"/>
      <c r="C494" s="27"/>
      <c r="D494" s="27"/>
      <c r="E494" s="15"/>
      <c r="F494" s="26"/>
      <c r="G494" s="15"/>
      <c r="H494" s="26"/>
    </row>
    <row r="495" spans="1:8" ht="15" customHeight="1" x14ac:dyDescent="0.25">
      <c r="A495" s="27"/>
      <c r="B495" s="27"/>
      <c r="C495" s="27"/>
      <c r="D495" s="27"/>
      <c r="E495" s="15"/>
      <c r="F495" s="26"/>
      <c r="G495" s="15"/>
      <c r="H495" s="26"/>
    </row>
    <row r="496" spans="1:8" ht="15" customHeight="1" x14ac:dyDescent="0.25">
      <c r="A496" s="27"/>
      <c r="B496" s="27"/>
      <c r="C496" s="27"/>
      <c r="D496" s="27"/>
      <c r="E496" s="15"/>
      <c r="F496" s="26"/>
      <c r="G496" s="15"/>
      <c r="H496" s="26"/>
    </row>
    <row r="497" spans="1:8" ht="15" customHeight="1" x14ac:dyDescent="0.25">
      <c r="A497" s="27"/>
      <c r="B497" s="27"/>
      <c r="C497" s="27"/>
      <c r="D497" s="27"/>
      <c r="E497" s="15"/>
      <c r="F497" s="26"/>
      <c r="G497" s="15"/>
      <c r="H497" s="26"/>
    </row>
    <row r="498" spans="1:8" ht="15" customHeight="1" x14ac:dyDescent="0.25">
      <c r="A498" s="27"/>
      <c r="B498" s="27"/>
      <c r="C498" s="27"/>
      <c r="D498" s="27"/>
      <c r="E498" s="15"/>
      <c r="F498" s="26"/>
      <c r="G498" s="15"/>
      <c r="H498" s="26"/>
    </row>
    <row r="499" spans="1:8" ht="15" customHeight="1" x14ac:dyDescent="0.25">
      <c r="A499" s="27"/>
      <c r="B499" s="27"/>
      <c r="C499" s="27"/>
      <c r="D499" s="27"/>
      <c r="E499" s="15"/>
      <c r="F499" s="26"/>
      <c r="G499" s="15"/>
      <c r="H499" s="26"/>
    </row>
    <row r="500" spans="1:8" ht="15" customHeight="1" x14ac:dyDescent="0.25">
      <c r="A500" s="27"/>
      <c r="B500" s="27"/>
      <c r="C500" s="27"/>
      <c r="D500" s="27"/>
      <c r="E500" s="15"/>
      <c r="F500" s="26"/>
      <c r="G500" s="15"/>
      <c r="H500" s="26"/>
    </row>
    <row r="501" spans="1:8" ht="15" customHeight="1" x14ac:dyDescent="0.25">
      <c r="A501" s="27"/>
      <c r="B501" s="27"/>
      <c r="C501" s="27"/>
      <c r="D501" s="27"/>
      <c r="E501" s="15"/>
      <c r="F501" s="26"/>
      <c r="G501" s="15"/>
      <c r="H501" s="26"/>
    </row>
    <row r="502" spans="1:8" ht="15" customHeight="1" x14ac:dyDescent="0.25">
      <c r="A502" s="27"/>
      <c r="B502" s="27"/>
      <c r="C502" s="27"/>
      <c r="D502" s="27"/>
      <c r="E502" s="15"/>
      <c r="F502" s="26"/>
      <c r="G502" s="15"/>
      <c r="H502" s="26"/>
    </row>
    <row r="503" spans="1:8" ht="15" customHeight="1" x14ac:dyDescent="0.25">
      <c r="A503" s="27"/>
      <c r="B503" s="27"/>
      <c r="C503" s="27"/>
      <c r="D503" s="27"/>
      <c r="E503" s="15"/>
      <c r="F503" s="26"/>
      <c r="G503" s="15"/>
      <c r="H503" s="26"/>
    </row>
    <row r="504" spans="1:8" ht="15" customHeight="1" x14ac:dyDescent="0.25">
      <c r="A504" s="27"/>
      <c r="B504" s="27"/>
      <c r="C504" s="27"/>
      <c r="D504" s="27"/>
      <c r="E504" s="15"/>
      <c r="F504" s="26"/>
      <c r="G504" s="15"/>
      <c r="H504" s="26"/>
    </row>
    <row r="505" spans="1:8" ht="15" customHeight="1" x14ac:dyDescent="0.25">
      <c r="A505" s="27"/>
      <c r="B505" s="27"/>
      <c r="C505" s="27"/>
      <c r="D505" s="27"/>
      <c r="E505" s="15"/>
      <c r="F505" s="26"/>
      <c r="G505" s="15"/>
      <c r="H505" s="26"/>
    </row>
    <row r="506" spans="1:8" ht="15" customHeight="1" x14ac:dyDescent="0.25">
      <c r="A506" s="27"/>
      <c r="B506" s="27"/>
      <c r="C506" s="27"/>
      <c r="D506" s="27"/>
      <c r="E506" s="15"/>
      <c r="F506" s="26"/>
      <c r="G506" s="15"/>
      <c r="H506" s="26"/>
    </row>
    <row r="507" spans="1:8" ht="15" customHeight="1" x14ac:dyDescent="0.25">
      <c r="A507" s="27"/>
      <c r="B507" s="27"/>
      <c r="C507" s="27"/>
      <c r="D507" s="27"/>
      <c r="E507" s="15"/>
      <c r="F507" s="26"/>
      <c r="G507" s="15"/>
      <c r="H507" s="26"/>
    </row>
    <row r="508" spans="1:8" ht="15" customHeight="1" x14ac:dyDescent="0.25">
      <c r="A508" s="27"/>
      <c r="B508" s="27"/>
      <c r="C508" s="27"/>
      <c r="D508" s="27"/>
      <c r="E508" s="15"/>
      <c r="F508" s="26"/>
      <c r="G508" s="15"/>
      <c r="H508" s="26"/>
    </row>
    <row r="509" spans="1:8" ht="15" customHeight="1" x14ac:dyDescent="0.25">
      <c r="A509" s="27"/>
      <c r="B509" s="27"/>
      <c r="C509" s="27"/>
      <c r="D509" s="27"/>
      <c r="E509" s="15"/>
      <c r="F509" s="26"/>
      <c r="G509" s="15"/>
      <c r="H509" s="26"/>
    </row>
    <row r="510" spans="1:8" ht="15" customHeight="1" x14ac:dyDescent="0.25">
      <c r="A510" s="27"/>
      <c r="B510" s="27"/>
      <c r="C510" s="27"/>
      <c r="D510" s="27"/>
      <c r="E510" s="15"/>
      <c r="F510" s="26"/>
      <c r="G510" s="15"/>
      <c r="H510" s="26"/>
    </row>
    <row r="511" spans="1:8" ht="15" customHeight="1" x14ac:dyDescent="0.25">
      <c r="A511" s="27"/>
      <c r="B511" s="27"/>
      <c r="C511" s="27"/>
      <c r="D511" s="27"/>
      <c r="E511" s="15"/>
      <c r="F511" s="26"/>
      <c r="G511" s="15"/>
      <c r="H511" s="26"/>
    </row>
    <row r="512" spans="1:8" ht="15" customHeight="1" x14ac:dyDescent="0.25">
      <c r="A512" s="27"/>
      <c r="B512" s="27"/>
      <c r="C512" s="27"/>
      <c r="D512" s="27"/>
      <c r="E512" s="15"/>
      <c r="F512" s="26"/>
      <c r="G512" s="15"/>
      <c r="H512" s="26"/>
    </row>
    <row r="513" spans="1:8" ht="15" customHeight="1" x14ac:dyDescent="0.25">
      <c r="A513" s="27"/>
      <c r="B513" s="27"/>
      <c r="C513" s="27"/>
      <c r="D513" s="27"/>
      <c r="E513" s="15"/>
      <c r="F513" s="26"/>
      <c r="G513" s="15"/>
      <c r="H513" s="26"/>
    </row>
    <row r="514" spans="1:8" ht="15" customHeight="1" x14ac:dyDescent="0.25">
      <c r="A514" s="27"/>
      <c r="B514" s="27"/>
      <c r="C514" s="27"/>
      <c r="D514" s="27"/>
      <c r="E514" s="15"/>
      <c r="F514" s="26"/>
      <c r="G514" s="15"/>
      <c r="H514" s="26"/>
    </row>
    <row r="515" spans="1:8" ht="15" customHeight="1" x14ac:dyDescent="0.25">
      <c r="A515" s="27"/>
      <c r="B515" s="27"/>
      <c r="C515" s="27"/>
      <c r="D515" s="27"/>
      <c r="E515" s="15"/>
      <c r="F515" s="26"/>
      <c r="G515" s="15"/>
      <c r="H515" s="26"/>
    </row>
    <row r="516" spans="1:8" ht="15" customHeight="1" x14ac:dyDescent="0.25">
      <c r="A516" s="27"/>
      <c r="B516" s="27"/>
      <c r="C516" s="27"/>
      <c r="D516" s="27"/>
      <c r="E516" s="15"/>
      <c r="F516" s="26"/>
      <c r="G516" s="15"/>
      <c r="H516" s="26"/>
    </row>
    <row r="517" spans="1:8" ht="15" customHeight="1" x14ac:dyDescent="0.25">
      <c r="A517" s="27"/>
      <c r="B517" s="27"/>
      <c r="C517" s="27"/>
      <c r="D517" s="27"/>
      <c r="E517" s="15"/>
      <c r="F517" s="26"/>
      <c r="G517" s="15"/>
      <c r="H517" s="26"/>
    </row>
    <row r="518" spans="1:8" ht="15" customHeight="1" x14ac:dyDescent="0.25">
      <c r="A518" s="27"/>
      <c r="B518" s="27"/>
      <c r="C518" s="27"/>
      <c r="D518" s="27"/>
      <c r="E518" s="15"/>
      <c r="F518" s="26"/>
      <c r="G518" s="15"/>
      <c r="H518" s="26"/>
    </row>
    <row r="519" spans="1:8" ht="15" customHeight="1" x14ac:dyDescent="0.25">
      <c r="A519" s="27"/>
      <c r="B519" s="27"/>
      <c r="C519" s="27"/>
      <c r="D519" s="27"/>
      <c r="E519" s="15"/>
      <c r="F519" s="26"/>
      <c r="G519" s="15"/>
      <c r="H519" s="26"/>
    </row>
    <row r="520" spans="1:8" ht="15" customHeight="1" x14ac:dyDescent="0.25">
      <c r="A520" s="27"/>
      <c r="B520" s="27"/>
      <c r="C520" s="27"/>
      <c r="D520" s="27"/>
      <c r="E520" s="15"/>
      <c r="F520" s="26"/>
      <c r="G520" s="15"/>
      <c r="H520" s="26"/>
    </row>
    <row r="521" spans="1:8" ht="15" customHeight="1" x14ac:dyDescent="0.25">
      <c r="A521" s="27"/>
      <c r="B521" s="27"/>
      <c r="C521" s="27"/>
      <c r="D521" s="27"/>
      <c r="E521" s="15"/>
      <c r="F521" s="26"/>
      <c r="G521" s="15"/>
      <c r="H521" s="26"/>
    </row>
    <row r="522" spans="1:8" ht="15" customHeight="1" x14ac:dyDescent="0.25">
      <c r="A522" s="27"/>
      <c r="B522" s="27"/>
      <c r="C522" s="27"/>
      <c r="D522" s="27"/>
      <c r="E522" s="15"/>
      <c r="F522" s="26"/>
      <c r="G522" s="15"/>
      <c r="H522" s="26"/>
    </row>
    <row r="523" spans="1:8" ht="15" customHeight="1" x14ac:dyDescent="0.25">
      <c r="A523" s="27"/>
      <c r="B523" s="27"/>
      <c r="C523" s="27"/>
      <c r="D523" s="27"/>
      <c r="E523" s="15"/>
      <c r="F523" s="26"/>
      <c r="G523" s="15"/>
      <c r="H523" s="26"/>
    </row>
    <row r="524" spans="1:8" ht="15" customHeight="1" x14ac:dyDescent="0.25">
      <c r="A524" s="27"/>
      <c r="B524" s="27"/>
      <c r="C524" s="27"/>
      <c r="D524" s="27"/>
      <c r="E524" s="15"/>
      <c r="F524" s="26"/>
      <c r="G524" s="15"/>
      <c r="H524" s="26"/>
    </row>
    <row r="525" spans="1:8" ht="15" customHeight="1" x14ac:dyDescent="0.25">
      <c r="A525" s="27"/>
      <c r="B525" s="27"/>
      <c r="C525" s="27"/>
      <c r="D525" s="27"/>
      <c r="E525" s="15"/>
      <c r="F525" s="26"/>
      <c r="G525" s="15"/>
      <c r="H525" s="26"/>
    </row>
    <row r="526" spans="1:8" ht="15" customHeight="1" x14ac:dyDescent="0.25">
      <c r="A526" s="27"/>
      <c r="B526" s="27"/>
      <c r="C526" s="27"/>
      <c r="D526" s="27"/>
      <c r="E526" s="15"/>
      <c r="F526" s="26"/>
      <c r="G526" s="15"/>
      <c r="H526" s="26"/>
    </row>
    <row r="527" spans="1:8" ht="15" customHeight="1" x14ac:dyDescent="0.25">
      <c r="A527" s="27"/>
      <c r="B527" s="27"/>
      <c r="C527" s="27"/>
      <c r="D527" s="27"/>
      <c r="E527" s="15"/>
      <c r="F527" s="26"/>
      <c r="G527" s="15"/>
      <c r="H527" s="26"/>
    </row>
    <row r="528" spans="1:8" ht="15" customHeight="1" x14ac:dyDescent="0.25">
      <c r="A528" s="27"/>
      <c r="B528" s="27"/>
      <c r="C528" s="27"/>
      <c r="D528" s="27"/>
      <c r="E528" s="15"/>
      <c r="F528" s="26"/>
      <c r="G528" s="15"/>
      <c r="H528" s="26"/>
    </row>
    <row r="529" spans="1:8" ht="15" customHeight="1" x14ac:dyDescent="0.25">
      <c r="A529" s="27"/>
      <c r="B529" s="27"/>
      <c r="C529" s="27"/>
      <c r="D529" s="27"/>
      <c r="E529" s="15"/>
      <c r="F529" s="26"/>
      <c r="G529" s="15"/>
      <c r="H529" s="26"/>
    </row>
    <row r="530" spans="1:8" ht="15" customHeight="1" x14ac:dyDescent="0.25">
      <c r="A530" s="27"/>
      <c r="B530" s="27"/>
      <c r="C530" s="27"/>
      <c r="D530" s="27"/>
      <c r="E530" s="15"/>
      <c r="F530" s="26"/>
      <c r="G530" s="15"/>
      <c r="H530" s="26"/>
    </row>
    <row r="531" spans="1:8" ht="15" customHeight="1" x14ac:dyDescent="0.25">
      <c r="A531" s="27"/>
      <c r="B531" s="27"/>
      <c r="C531" s="27"/>
      <c r="D531" s="27"/>
      <c r="E531" s="15"/>
      <c r="F531" s="26"/>
      <c r="G531" s="15"/>
      <c r="H531" s="26"/>
    </row>
    <row r="532" spans="1:8" ht="15" customHeight="1" x14ac:dyDescent="0.25">
      <c r="A532" s="27"/>
      <c r="B532" s="27"/>
      <c r="C532" s="27"/>
      <c r="D532" s="27"/>
      <c r="E532" s="15"/>
      <c r="F532" s="26"/>
      <c r="G532" s="15"/>
      <c r="H532" s="26"/>
    </row>
    <row r="533" spans="1:8" ht="15" customHeight="1" x14ac:dyDescent="0.25">
      <c r="A533" s="27"/>
      <c r="B533" s="27"/>
      <c r="C533" s="27"/>
      <c r="D533" s="27"/>
      <c r="E533" s="15"/>
      <c r="F533" s="26"/>
      <c r="G533" s="15"/>
      <c r="H533" s="26"/>
    </row>
    <row r="534" spans="1:8" ht="15" customHeight="1" x14ac:dyDescent="0.25">
      <c r="A534" s="27"/>
      <c r="B534" s="27"/>
      <c r="C534" s="27"/>
      <c r="D534" s="27"/>
      <c r="E534" s="15"/>
      <c r="F534" s="26"/>
      <c r="G534" s="15"/>
      <c r="H534" s="26"/>
    </row>
    <row r="535" spans="1:8" ht="15" customHeight="1" x14ac:dyDescent="0.25">
      <c r="A535" s="27"/>
      <c r="B535" s="27"/>
      <c r="C535" s="27"/>
      <c r="D535" s="27"/>
      <c r="E535" s="15"/>
      <c r="F535" s="26"/>
      <c r="G535" s="15"/>
      <c r="H535" s="26"/>
    </row>
    <row r="536" spans="1:8" ht="15" customHeight="1" x14ac:dyDescent="0.25">
      <c r="A536" s="27"/>
      <c r="B536" s="27"/>
      <c r="C536" s="27"/>
      <c r="D536" s="27"/>
      <c r="E536" s="15"/>
      <c r="F536" s="26"/>
      <c r="G536" s="15"/>
      <c r="H536" s="26"/>
    </row>
    <row r="537" spans="1:8" ht="15" customHeight="1" x14ac:dyDescent="0.25">
      <c r="A537" s="27"/>
      <c r="B537" s="27"/>
      <c r="C537" s="27"/>
      <c r="D537" s="27"/>
      <c r="E537" s="15"/>
      <c r="F537" s="26"/>
      <c r="G537" s="15"/>
      <c r="H537" s="26"/>
    </row>
    <row r="538" spans="1:8" ht="15" customHeight="1" x14ac:dyDescent="0.25">
      <c r="A538" s="27"/>
      <c r="B538" s="27"/>
      <c r="C538" s="27"/>
      <c r="D538" s="27"/>
      <c r="E538" s="15"/>
      <c r="F538" s="26"/>
      <c r="G538" s="15"/>
      <c r="H538" s="26"/>
    </row>
    <row r="539" spans="1:8" ht="15" customHeight="1" x14ac:dyDescent="0.25">
      <c r="A539" s="27"/>
      <c r="B539" s="27"/>
      <c r="C539" s="27"/>
      <c r="D539" s="27"/>
      <c r="E539" s="15"/>
      <c r="F539" s="26"/>
      <c r="G539" s="15"/>
      <c r="H539" s="26"/>
    </row>
    <row r="540" spans="1:8" ht="15" customHeight="1" x14ac:dyDescent="0.25">
      <c r="A540" s="27"/>
      <c r="B540" s="27"/>
      <c r="C540" s="27"/>
      <c r="D540" s="27"/>
      <c r="E540" s="15"/>
      <c r="F540" s="26"/>
      <c r="G540" s="15"/>
      <c r="H540" s="26"/>
    </row>
    <row r="541" spans="1:8" ht="15" customHeight="1" x14ac:dyDescent="0.25">
      <c r="A541" s="27"/>
      <c r="B541" s="27"/>
      <c r="C541" s="27"/>
      <c r="D541" s="27"/>
      <c r="E541" s="15"/>
      <c r="F541" s="26"/>
      <c r="G541" s="15"/>
      <c r="H541" s="26"/>
    </row>
    <row r="542" spans="1:8" ht="15" customHeight="1" x14ac:dyDescent="0.25">
      <c r="A542" s="27"/>
      <c r="B542" s="27"/>
      <c r="C542" s="27"/>
      <c r="D542" s="27"/>
      <c r="E542" s="15"/>
      <c r="F542" s="26"/>
      <c r="G542" s="15"/>
      <c r="H542" s="26"/>
    </row>
    <row r="543" spans="1:8" ht="15" customHeight="1" x14ac:dyDescent="0.25">
      <c r="A543" s="27"/>
      <c r="B543" s="27"/>
      <c r="C543" s="27"/>
      <c r="D543" s="27"/>
      <c r="E543" s="15"/>
      <c r="F543" s="26"/>
      <c r="G543" s="15"/>
      <c r="H543" s="26"/>
    </row>
    <row r="544" spans="1:8" ht="15" customHeight="1" x14ac:dyDescent="0.25">
      <c r="A544" s="27"/>
      <c r="B544" s="27"/>
      <c r="C544" s="27"/>
      <c r="D544" s="27"/>
      <c r="E544" s="15"/>
      <c r="F544" s="26"/>
      <c r="G544" s="15"/>
      <c r="H544" s="26"/>
    </row>
    <row r="545" spans="1:8" ht="15" customHeight="1" x14ac:dyDescent="0.25">
      <c r="A545" s="27"/>
      <c r="B545" s="27"/>
      <c r="C545" s="27"/>
      <c r="D545" s="27"/>
      <c r="E545" s="15"/>
      <c r="F545" s="26"/>
      <c r="G545" s="15"/>
      <c r="H545" s="26"/>
    </row>
    <row r="546" spans="1:8" ht="15" customHeight="1" x14ac:dyDescent="0.25">
      <c r="A546" s="27"/>
      <c r="B546" s="27"/>
      <c r="C546" s="27"/>
      <c r="D546" s="27"/>
      <c r="E546" s="15"/>
      <c r="F546" s="26"/>
      <c r="G546" s="15"/>
      <c r="H546" s="26"/>
    </row>
    <row r="547" spans="1:8" ht="15" customHeight="1" x14ac:dyDescent="0.25">
      <c r="A547" s="27"/>
      <c r="B547" s="27"/>
      <c r="C547" s="27"/>
      <c r="D547" s="27"/>
      <c r="E547" s="15"/>
      <c r="F547" s="26"/>
      <c r="G547" s="15"/>
      <c r="H547" s="26"/>
    </row>
    <row r="548" spans="1:8" ht="15" customHeight="1" x14ac:dyDescent="0.25">
      <c r="A548" s="27"/>
      <c r="B548" s="27"/>
      <c r="C548" s="27"/>
      <c r="D548" s="27"/>
      <c r="E548" s="15"/>
      <c r="F548" s="26"/>
      <c r="G548" s="15"/>
      <c r="H548" s="26"/>
    </row>
    <row r="549" spans="1:8" ht="15" customHeight="1" x14ac:dyDescent="0.25">
      <c r="A549" s="27"/>
      <c r="B549" s="27"/>
      <c r="C549" s="27"/>
      <c r="D549" s="27"/>
      <c r="E549" s="15"/>
      <c r="F549" s="26"/>
      <c r="G549" s="15"/>
      <c r="H549" s="26"/>
    </row>
    <row r="550" spans="1:8" ht="15" customHeight="1" x14ac:dyDescent="0.25">
      <c r="A550" s="27"/>
      <c r="B550" s="27"/>
      <c r="C550" s="27"/>
      <c r="D550" s="27"/>
      <c r="E550" s="15"/>
      <c r="F550" s="26"/>
      <c r="G550" s="15"/>
      <c r="H550" s="26"/>
    </row>
    <row r="551" spans="1:8" ht="15" customHeight="1" x14ac:dyDescent="0.25">
      <c r="A551" s="27"/>
      <c r="B551" s="27"/>
      <c r="C551" s="27"/>
      <c r="D551" s="27"/>
      <c r="E551" s="15"/>
      <c r="F551" s="26"/>
      <c r="G551" s="15"/>
      <c r="H551" s="26"/>
    </row>
    <row r="552" spans="1:8" ht="15" customHeight="1" x14ac:dyDescent="0.25">
      <c r="A552" s="27"/>
      <c r="B552" s="27"/>
      <c r="C552" s="27"/>
      <c r="D552" s="27"/>
      <c r="E552" s="15"/>
      <c r="F552" s="26"/>
      <c r="G552" s="15"/>
      <c r="H552" s="26"/>
    </row>
    <row r="553" spans="1:8" ht="15" customHeight="1" x14ac:dyDescent="0.25">
      <c r="A553" s="27"/>
      <c r="B553" s="27"/>
      <c r="C553" s="27"/>
      <c r="D553" s="27"/>
      <c r="E553" s="15"/>
      <c r="F553" s="26"/>
      <c r="G553" s="15"/>
      <c r="H553" s="26"/>
    </row>
    <row r="554" spans="1:8" ht="15" customHeight="1" x14ac:dyDescent="0.25">
      <c r="A554" s="27"/>
      <c r="B554" s="27"/>
      <c r="C554" s="27"/>
      <c r="D554" s="27"/>
      <c r="E554" s="15"/>
      <c r="F554" s="26"/>
      <c r="G554" s="15"/>
      <c r="H554" s="26"/>
    </row>
    <row r="555" spans="1:8" ht="15" customHeight="1" x14ac:dyDescent="0.25">
      <c r="A555" s="27"/>
      <c r="B555" s="27"/>
      <c r="C555" s="27"/>
      <c r="D555" s="27"/>
      <c r="E555" s="15"/>
      <c r="F555" s="26"/>
      <c r="G555" s="15"/>
      <c r="H555" s="26"/>
    </row>
    <row r="556" spans="1:8" ht="15" customHeight="1" x14ac:dyDescent="0.25">
      <c r="A556" s="27"/>
      <c r="B556" s="27"/>
      <c r="C556" s="27"/>
      <c r="D556" s="27"/>
      <c r="E556" s="15"/>
      <c r="F556" s="26"/>
      <c r="G556" s="15"/>
      <c r="H556" s="26"/>
    </row>
    <row r="557" spans="1:8" ht="15" customHeight="1" x14ac:dyDescent="0.25">
      <c r="A557" s="27"/>
      <c r="B557" s="27"/>
      <c r="C557" s="27"/>
      <c r="D557" s="27"/>
      <c r="E557" s="15"/>
      <c r="F557" s="26"/>
      <c r="G557" s="15"/>
      <c r="H557" s="26"/>
    </row>
    <row r="558" spans="1:8" ht="15" customHeight="1" x14ac:dyDescent="0.25">
      <c r="A558" s="27"/>
      <c r="B558" s="27"/>
      <c r="C558" s="27"/>
      <c r="D558" s="27"/>
      <c r="E558" s="15"/>
      <c r="F558" s="26"/>
      <c r="G558" s="15"/>
      <c r="H558" s="26"/>
    </row>
    <row r="559" spans="1:8" ht="15" customHeight="1" x14ac:dyDescent="0.25">
      <c r="A559" s="27"/>
      <c r="B559" s="27"/>
      <c r="C559" s="27"/>
      <c r="D559" s="27"/>
      <c r="E559" s="15"/>
      <c r="F559" s="26"/>
      <c r="G559" s="15"/>
      <c r="H559" s="26"/>
    </row>
    <row r="560" spans="1:8" ht="15" customHeight="1" x14ac:dyDescent="0.25">
      <c r="A560" s="27"/>
      <c r="B560" s="27"/>
      <c r="C560" s="27"/>
      <c r="D560" s="27"/>
      <c r="E560" s="15"/>
      <c r="F560" s="26"/>
      <c r="G560" s="15"/>
      <c r="H560" s="26"/>
    </row>
    <row r="561" spans="1:8" ht="15" customHeight="1" x14ac:dyDescent="0.25">
      <c r="A561" s="27"/>
      <c r="B561" s="27"/>
      <c r="C561" s="27"/>
      <c r="D561" s="27"/>
      <c r="E561" s="15"/>
      <c r="F561" s="26"/>
      <c r="G561" s="15"/>
      <c r="H561" s="26"/>
    </row>
    <row r="562" spans="1:8" ht="15" customHeight="1" x14ac:dyDescent="0.25">
      <c r="A562" s="27"/>
      <c r="B562" s="27"/>
      <c r="C562" s="27"/>
      <c r="D562" s="27"/>
      <c r="E562" s="15"/>
      <c r="F562" s="26"/>
      <c r="G562" s="15"/>
      <c r="H562" s="26"/>
    </row>
    <row r="563" spans="1:8" ht="15" customHeight="1" x14ac:dyDescent="0.25">
      <c r="A563" s="27"/>
      <c r="B563" s="27"/>
      <c r="C563" s="27"/>
      <c r="D563" s="27"/>
      <c r="E563" s="15"/>
      <c r="F563" s="26"/>
      <c r="G563" s="15"/>
      <c r="H563" s="26"/>
    </row>
    <row r="564" spans="1:8" ht="15" customHeight="1" x14ac:dyDescent="0.25">
      <c r="A564" s="27"/>
      <c r="B564" s="27"/>
      <c r="C564" s="27"/>
      <c r="D564" s="27"/>
      <c r="E564" s="15"/>
      <c r="F564" s="26"/>
      <c r="G564" s="15"/>
      <c r="H564" s="26"/>
    </row>
    <row r="565" spans="1:8" ht="15" customHeight="1" x14ac:dyDescent="0.25">
      <c r="A565" s="27"/>
      <c r="B565" s="27"/>
      <c r="C565" s="27"/>
      <c r="D565" s="27"/>
      <c r="E565" s="15"/>
      <c r="F565" s="26"/>
      <c r="G565" s="15"/>
      <c r="H565" s="26"/>
    </row>
    <row r="566" spans="1:8" ht="15" customHeight="1" x14ac:dyDescent="0.25">
      <c r="A566" s="27"/>
      <c r="B566" s="27"/>
      <c r="C566" s="27"/>
      <c r="D566" s="27"/>
      <c r="E566" s="15"/>
      <c r="F566" s="26"/>
      <c r="G566" s="15"/>
      <c r="H566" s="26"/>
    </row>
    <row r="567" spans="1:8" ht="15" customHeight="1" x14ac:dyDescent="0.25">
      <c r="A567" s="27"/>
      <c r="B567" s="27"/>
      <c r="C567" s="27"/>
      <c r="D567" s="27"/>
      <c r="E567" s="15"/>
      <c r="F567" s="26"/>
      <c r="G567" s="15"/>
      <c r="H567" s="26"/>
    </row>
    <row r="568" spans="1:8" ht="15" customHeight="1" x14ac:dyDescent="0.25">
      <c r="A568" s="27"/>
      <c r="B568" s="27"/>
      <c r="C568" s="27"/>
      <c r="D568" s="27"/>
      <c r="E568" s="15"/>
      <c r="F568" s="26"/>
      <c r="G568" s="15"/>
      <c r="H568" s="26"/>
    </row>
    <row r="569" spans="1:8" ht="15" customHeight="1" x14ac:dyDescent="0.25">
      <c r="A569" s="27"/>
      <c r="B569" s="27"/>
      <c r="C569" s="27"/>
      <c r="D569" s="27"/>
      <c r="E569" s="15"/>
      <c r="F569" s="26"/>
      <c r="G569" s="15"/>
      <c r="H569" s="26"/>
    </row>
    <row r="570" spans="1:8" ht="15" customHeight="1" x14ac:dyDescent="0.25">
      <c r="A570" s="27"/>
      <c r="B570" s="27"/>
      <c r="C570" s="27"/>
      <c r="D570" s="27"/>
      <c r="E570" s="15"/>
      <c r="F570" s="26"/>
      <c r="G570" s="15"/>
      <c r="H570" s="26"/>
    </row>
    <row r="571" spans="1:8" ht="15" customHeight="1" x14ac:dyDescent="0.25">
      <c r="A571" s="27"/>
      <c r="B571" s="27"/>
      <c r="C571" s="27"/>
      <c r="D571" s="27"/>
      <c r="E571" s="15"/>
      <c r="F571" s="26"/>
      <c r="G571" s="15"/>
      <c r="H571" s="26"/>
    </row>
    <row r="572" spans="1:8" ht="15" customHeight="1" x14ac:dyDescent="0.25">
      <c r="A572" s="27"/>
      <c r="B572" s="27"/>
      <c r="C572" s="27"/>
      <c r="D572" s="27"/>
      <c r="E572" s="15"/>
      <c r="F572" s="26"/>
      <c r="G572" s="15"/>
      <c r="H572" s="26"/>
    </row>
    <row r="573" spans="1:8" ht="15" customHeight="1" x14ac:dyDescent="0.25">
      <c r="A573" s="27"/>
      <c r="B573" s="27"/>
      <c r="C573" s="27"/>
      <c r="D573" s="27"/>
      <c r="E573" s="15"/>
      <c r="F573" s="26"/>
      <c r="G573" s="15"/>
      <c r="H573" s="26"/>
    </row>
    <row r="574" spans="1:8" ht="15" customHeight="1" x14ac:dyDescent="0.25">
      <c r="A574" s="27"/>
      <c r="B574" s="27"/>
      <c r="C574" s="27"/>
      <c r="D574" s="27"/>
      <c r="E574" s="15"/>
      <c r="F574" s="26"/>
      <c r="G574" s="15"/>
      <c r="H574" s="26"/>
    </row>
    <row r="575" spans="1:8" ht="15" customHeight="1" x14ac:dyDescent="0.25">
      <c r="A575" s="27"/>
      <c r="B575" s="27"/>
      <c r="C575" s="27"/>
      <c r="D575" s="27"/>
      <c r="E575" s="15"/>
      <c r="F575" s="26"/>
      <c r="G575" s="15"/>
      <c r="H575" s="26"/>
    </row>
    <row r="576" spans="1:8" ht="15" customHeight="1" x14ac:dyDescent="0.25">
      <c r="A576" s="27"/>
      <c r="B576" s="27"/>
      <c r="C576" s="27"/>
      <c r="D576" s="27"/>
      <c r="E576" s="15"/>
      <c r="F576" s="26"/>
      <c r="G576" s="15"/>
      <c r="H576" s="26"/>
    </row>
    <row r="577" spans="1:8" ht="15" customHeight="1" x14ac:dyDescent="0.25">
      <c r="A577" s="27"/>
      <c r="B577" s="27"/>
      <c r="C577" s="27"/>
      <c r="D577" s="27"/>
      <c r="E577" s="15"/>
      <c r="F577" s="26"/>
      <c r="G577" s="15"/>
      <c r="H577" s="26"/>
    </row>
    <row r="578" spans="1:8" ht="15" customHeight="1" x14ac:dyDescent="0.25">
      <c r="A578" s="27"/>
      <c r="B578" s="27"/>
      <c r="C578" s="27"/>
      <c r="D578" s="27"/>
      <c r="E578" s="15"/>
      <c r="F578" s="26"/>
      <c r="G578" s="15"/>
      <c r="H578" s="26"/>
    </row>
    <row r="579" spans="1:8" ht="15" customHeight="1" x14ac:dyDescent="0.25">
      <c r="A579" s="27"/>
      <c r="B579" s="27"/>
      <c r="C579" s="27"/>
      <c r="D579" s="27"/>
      <c r="E579" s="15"/>
      <c r="F579" s="26"/>
      <c r="G579" s="15"/>
      <c r="H579" s="26"/>
    </row>
    <row r="580" spans="1:8" ht="15" customHeight="1" x14ac:dyDescent="0.25">
      <c r="A580" s="27"/>
      <c r="B580" s="27"/>
      <c r="C580" s="27"/>
      <c r="D580" s="27"/>
      <c r="E580" s="15"/>
      <c r="F580" s="26"/>
      <c r="G580" s="15"/>
      <c r="H580" s="26"/>
    </row>
    <row r="581" spans="1:8" ht="15" customHeight="1" x14ac:dyDescent="0.25">
      <c r="A581" s="27"/>
      <c r="B581" s="27"/>
      <c r="C581" s="27"/>
      <c r="D581" s="27"/>
      <c r="E581" s="15"/>
      <c r="F581" s="26"/>
      <c r="G581" s="15"/>
      <c r="H581" s="26"/>
    </row>
    <row r="582" spans="1:8" ht="15" customHeight="1" x14ac:dyDescent="0.25">
      <c r="A582" s="27"/>
      <c r="B582" s="27"/>
      <c r="C582" s="27"/>
      <c r="D582" s="27"/>
      <c r="E582" s="15"/>
      <c r="F582" s="26"/>
      <c r="G582" s="15"/>
      <c r="H582" s="26"/>
    </row>
    <row r="583" spans="1:8" ht="15" customHeight="1" x14ac:dyDescent="0.25">
      <c r="A583" s="27"/>
      <c r="B583" s="27"/>
      <c r="C583" s="27"/>
      <c r="D583" s="27"/>
      <c r="E583" s="15"/>
      <c r="F583" s="26"/>
      <c r="G583" s="15"/>
      <c r="H583" s="26"/>
    </row>
    <row r="584" spans="1:8" ht="15" customHeight="1" x14ac:dyDescent="0.25">
      <c r="A584" s="27"/>
      <c r="B584" s="27"/>
      <c r="C584" s="27"/>
      <c r="D584" s="27"/>
      <c r="E584" s="15"/>
      <c r="F584" s="26"/>
      <c r="G584" s="15"/>
      <c r="H584" s="26"/>
    </row>
    <row r="585" spans="1:8" ht="15" customHeight="1" x14ac:dyDescent="0.25">
      <c r="A585" s="27"/>
      <c r="B585" s="27"/>
      <c r="C585" s="27"/>
      <c r="D585" s="27"/>
      <c r="E585" s="15"/>
      <c r="F585" s="26"/>
      <c r="G585" s="15"/>
      <c r="H585" s="26"/>
    </row>
    <row r="586" spans="1:8" ht="15" customHeight="1" x14ac:dyDescent="0.25">
      <c r="A586" s="27"/>
      <c r="B586" s="27"/>
      <c r="C586" s="27"/>
      <c r="D586" s="27"/>
      <c r="E586" s="15"/>
      <c r="F586" s="26"/>
      <c r="G586" s="15"/>
      <c r="H586" s="26"/>
    </row>
    <row r="587" spans="1:8" ht="15" customHeight="1" x14ac:dyDescent="0.25">
      <c r="A587" s="27"/>
      <c r="B587" s="27"/>
      <c r="C587" s="27"/>
      <c r="D587" s="27"/>
      <c r="E587" s="15"/>
      <c r="F587" s="26"/>
      <c r="G587" s="15"/>
      <c r="H587" s="26"/>
    </row>
    <row r="588" spans="1:8" ht="15" customHeight="1" x14ac:dyDescent="0.25">
      <c r="A588" s="27"/>
      <c r="B588" s="27"/>
      <c r="C588" s="27"/>
      <c r="D588" s="27"/>
      <c r="E588" s="15"/>
      <c r="F588" s="26"/>
      <c r="G588" s="15"/>
      <c r="H588" s="26"/>
    </row>
    <row r="589" spans="1:8" ht="15" customHeight="1" x14ac:dyDescent="0.25">
      <c r="A589" s="27"/>
      <c r="B589" s="27"/>
      <c r="C589" s="27"/>
      <c r="D589" s="27"/>
      <c r="E589" s="15"/>
      <c r="F589" s="26"/>
      <c r="G589" s="15"/>
      <c r="H589" s="26"/>
    </row>
    <row r="590" spans="1:8" ht="15" customHeight="1" x14ac:dyDescent="0.25">
      <c r="A590" s="27"/>
      <c r="B590" s="27"/>
      <c r="C590" s="27"/>
      <c r="D590" s="27"/>
      <c r="E590" s="15"/>
      <c r="F590" s="26"/>
      <c r="G590" s="15"/>
      <c r="H590" s="26"/>
    </row>
    <row r="591" spans="1:8" ht="15" customHeight="1" x14ac:dyDescent="0.25">
      <c r="A591" s="27"/>
      <c r="B591" s="27"/>
      <c r="C591" s="27"/>
      <c r="D591" s="27"/>
      <c r="E591" s="15"/>
      <c r="F591" s="26"/>
      <c r="G591" s="15"/>
      <c r="H591" s="26"/>
    </row>
    <row r="592" spans="1:8" ht="15" customHeight="1" x14ac:dyDescent="0.25">
      <c r="A592" s="27"/>
      <c r="B592" s="27"/>
      <c r="C592" s="27"/>
      <c r="D592" s="27"/>
      <c r="E592" s="15"/>
      <c r="F592" s="26"/>
      <c r="G592" s="15"/>
      <c r="H592" s="26"/>
    </row>
    <row r="593" spans="1:8" ht="15" customHeight="1" x14ac:dyDescent="0.25">
      <c r="A593" s="27"/>
      <c r="B593" s="27"/>
      <c r="C593" s="27"/>
      <c r="D593" s="27"/>
      <c r="E593" s="15"/>
      <c r="F593" s="26"/>
      <c r="G593" s="15"/>
      <c r="H593" s="26"/>
    </row>
    <row r="594" spans="1:8" ht="15" customHeight="1" x14ac:dyDescent="0.25">
      <c r="A594" s="27"/>
      <c r="B594" s="27"/>
      <c r="C594" s="27"/>
      <c r="D594" s="27"/>
      <c r="E594" s="15"/>
      <c r="F594" s="26"/>
      <c r="G594" s="15"/>
      <c r="H594" s="26"/>
    </row>
    <row r="595" spans="1:8" ht="15" customHeight="1" x14ac:dyDescent="0.25">
      <c r="A595" s="27"/>
      <c r="B595" s="27"/>
      <c r="C595" s="27"/>
      <c r="D595" s="27"/>
      <c r="E595" s="15"/>
      <c r="F595" s="26"/>
      <c r="G595" s="15"/>
      <c r="H595" s="26"/>
    </row>
    <row r="596" spans="1:8" ht="15" customHeight="1" x14ac:dyDescent="0.25">
      <c r="A596" s="27"/>
      <c r="B596" s="27"/>
      <c r="C596" s="27"/>
      <c r="D596" s="27"/>
      <c r="E596" s="15"/>
      <c r="F596" s="26"/>
      <c r="G596" s="15"/>
      <c r="H596" s="26"/>
    </row>
    <row r="597" spans="1:8" ht="15" customHeight="1" x14ac:dyDescent="0.25">
      <c r="A597" s="27"/>
      <c r="B597" s="27"/>
      <c r="C597" s="27"/>
      <c r="D597" s="27"/>
      <c r="E597" s="15"/>
      <c r="F597" s="26"/>
      <c r="G597" s="15"/>
      <c r="H597" s="26"/>
    </row>
    <row r="598" spans="1:8" ht="15" customHeight="1" x14ac:dyDescent="0.25">
      <c r="A598" s="27"/>
      <c r="B598" s="27"/>
      <c r="C598" s="27"/>
      <c r="D598" s="27"/>
      <c r="E598" s="15"/>
      <c r="F598" s="26"/>
      <c r="G598" s="15"/>
      <c r="H598" s="26"/>
    </row>
    <row r="599" spans="1:8" ht="15" customHeight="1" x14ac:dyDescent="0.25">
      <c r="A599" s="27"/>
      <c r="B599" s="27"/>
      <c r="C599" s="27"/>
      <c r="D599" s="27"/>
      <c r="E599" s="15"/>
      <c r="F599" s="26"/>
      <c r="G599" s="15"/>
      <c r="H599" s="26"/>
    </row>
    <row r="600" spans="1:8" ht="15" customHeight="1" x14ac:dyDescent="0.25">
      <c r="A600" s="27"/>
      <c r="B600" s="27"/>
      <c r="C600" s="27"/>
      <c r="D600" s="27"/>
      <c r="E600" s="15"/>
      <c r="F600" s="26"/>
      <c r="G600" s="15"/>
      <c r="H600" s="26"/>
    </row>
    <row r="601" spans="1:8" ht="15" customHeight="1" x14ac:dyDescent="0.25">
      <c r="A601" s="27"/>
      <c r="B601" s="27"/>
      <c r="C601" s="27"/>
      <c r="D601" s="27"/>
      <c r="E601" s="15"/>
      <c r="F601" s="26"/>
      <c r="G601" s="15"/>
      <c r="H601" s="26"/>
    </row>
    <row r="602" spans="1:8" ht="15" customHeight="1" x14ac:dyDescent="0.25">
      <c r="A602" s="27"/>
      <c r="B602" s="27"/>
      <c r="C602" s="27"/>
      <c r="D602" s="27"/>
      <c r="E602" s="15"/>
      <c r="F602" s="26"/>
      <c r="G602" s="15"/>
      <c r="H602" s="26"/>
    </row>
    <row r="603" spans="1:8" ht="15" customHeight="1" x14ac:dyDescent="0.25">
      <c r="A603" s="27"/>
      <c r="B603" s="27"/>
      <c r="C603" s="27"/>
      <c r="D603" s="27"/>
      <c r="E603" s="15"/>
      <c r="F603" s="26"/>
      <c r="G603" s="15"/>
      <c r="H603" s="26"/>
    </row>
    <row r="604" spans="1:8" ht="15" customHeight="1" x14ac:dyDescent="0.25">
      <c r="A604" s="27"/>
      <c r="B604" s="27"/>
      <c r="C604" s="27"/>
      <c r="D604" s="27"/>
      <c r="E604" s="15"/>
      <c r="F604" s="26"/>
      <c r="G604" s="15"/>
      <c r="H604" s="26"/>
    </row>
    <row r="605" spans="1:8" ht="15" customHeight="1" x14ac:dyDescent="0.25">
      <c r="A605" s="27"/>
      <c r="B605" s="27"/>
      <c r="C605" s="27"/>
      <c r="D605" s="27"/>
      <c r="E605" s="15"/>
      <c r="F605" s="26"/>
      <c r="G605" s="15"/>
      <c r="H605" s="26"/>
    </row>
    <row r="606" spans="1:8" ht="15" customHeight="1" x14ac:dyDescent="0.25">
      <c r="A606" s="27"/>
      <c r="B606" s="27"/>
      <c r="C606" s="27"/>
      <c r="D606" s="27"/>
      <c r="E606" s="15"/>
      <c r="F606" s="26"/>
      <c r="G606" s="15"/>
      <c r="H606" s="26"/>
    </row>
    <row r="607" spans="1:8" ht="15" customHeight="1" x14ac:dyDescent="0.25">
      <c r="A607" s="27"/>
      <c r="B607" s="27"/>
      <c r="C607" s="27"/>
      <c r="D607" s="27"/>
      <c r="E607" s="15"/>
      <c r="F607" s="26"/>
      <c r="G607" s="15"/>
      <c r="H607" s="26"/>
    </row>
    <row r="608" spans="1:8" ht="15" customHeight="1" x14ac:dyDescent="0.25">
      <c r="A608" s="27"/>
      <c r="B608" s="27"/>
      <c r="C608" s="27"/>
      <c r="D608" s="27"/>
      <c r="E608" s="15"/>
      <c r="F608" s="26"/>
      <c r="G608" s="15"/>
      <c r="H608" s="26"/>
    </row>
    <row r="609" spans="1:8" ht="15" customHeight="1" x14ac:dyDescent="0.25">
      <c r="A609" s="27"/>
      <c r="B609" s="27"/>
      <c r="C609" s="27"/>
      <c r="D609" s="27"/>
      <c r="E609" s="15"/>
      <c r="F609" s="26"/>
      <c r="G609" s="15"/>
      <c r="H609" s="26"/>
    </row>
    <row r="610" spans="1:8" ht="15" customHeight="1" x14ac:dyDescent="0.25">
      <c r="A610" s="27"/>
      <c r="B610" s="27"/>
      <c r="C610" s="27"/>
      <c r="D610" s="27"/>
      <c r="E610" s="15"/>
      <c r="F610" s="26"/>
      <c r="G610" s="15"/>
      <c r="H610" s="26"/>
    </row>
    <row r="611" spans="1:8" ht="15" customHeight="1" x14ac:dyDescent="0.25">
      <c r="A611" s="27"/>
      <c r="B611" s="27"/>
      <c r="C611" s="27"/>
      <c r="D611" s="27"/>
      <c r="E611" s="15"/>
      <c r="F611" s="26"/>
      <c r="G611" s="15"/>
      <c r="H611" s="26"/>
    </row>
    <row r="612" spans="1:8" ht="15" customHeight="1" x14ac:dyDescent="0.25">
      <c r="A612" s="27"/>
      <c r="B612" s="27"/>
      <c r="C612" s="27"/>
      <c r="D612" s="27"/>
      <c r="E612" s="15"/>
      <c r="F612" s="26"/>
      <c r="G612" s="15"/>
      <c r="H612" s="26"/>
    </row>
    <row r="613" spans="1:8" ht="15" customHeight="1" x14ac:dyDescent="0.25">
      <c r="A613" s="27"/>
      <c r="B613" s="27"/>
      <c r="C613" s="27"/>
      <c r="D613" s="27"/>
      <c r="E613" s="15"/>
      <c r="F613" s="26"/>
      <c r="G613" s="15"/>
      <c r="H613" s="26"/>
    </row>
    <row r="614" spans="1:8" ht="15" customHeight="1" x14ac:dyDescent="0.25">
      <c r="A614" s="27"/>
      <c r="B614" s="27"/>
      <c r="C614" s="27"/>
      <c r="D614" s="27"/>
      <c r="E614" s="15"/>
      <c r="F614" s="26"/>
      <c r="G614" s="15"/>
      <c r="H614" s="26"/>
    </row>
    <row r="615" spans="1:8" ht="15" customHeight="1" x14ac:dyDescent="0.25">
      <c r="A615" s="27"/>
      <c r="B615" s="27"/>
      <c r="C615" s="27"/>
      <c r="D615" s="27"/>
      <c r="E615" s="15"/>
      <c r="F615" s="26"/>
      <c r="G615" s="15"/>
      <c r="H615" s="26"/>
    </row>
    <row r="616" spans="1:8" ht="15" customHeight="1" x14ac:dyDescent="0.25">
      <c r="A616" s="27"/>
      <c r="B616" s="27"/>
      <c r="C616" s="27"/>
      <c r="D616" s="27"/>
      <c r="E616" s="15"/>
      <c r="F616" s="26"/>
      <c r="G616" s="15"/>
      <c r="H616" s="26"/>
    </row>
    <row r="617" spans="1:8" ht="15" customHeight="1" x14ac:dyDescent="0.25">
      <c r="A617" s="27"/>
      <c r="B617" s="27"/>
      <c r="C617" s="27"/>
      <c r="D617" s="27"/>
      <c r="E617" s="15"/>
      <c r="F617" s="26"/>
      <c r="G617" s="15"/>
      <c r="H617" s="26"/>
    </row>
    <row r="618" spans="1:8" ht="15" customHeight="1" x14ac:dyDescent="0.25">
      <c r="A618" s="27"/>
      <c r="B618" s="27"/>
      <c r="C618" s="27"/>
      <c r="D618" s="27"/>
      <c r="E618" s="15"/>
      <c r="F618" s="26"/>
      <c r="G618" s="15"/>
      <c r="H618" s="26"/>
    </row>
    <row r="619" spans="1:8" ht="15" customHeight="1" x14ac:dyDescent="0.25">
      <c r="A619" s="27"/>
      <c r="B619" s="27"/>
      <c r="C619" s="27"/>
      <c r="D619" s="27"/>
      <c r="E619" s="15"/>
      <c r="F619" s="26"/>
      <c r="G619" s="15"/>
      <c r="H619" s="26"/>
    </row>
    <row r="620" spans="1:8" ht="15" customHeight="1" x14ac:dyDescent="0.25">
      <c r="A620" s="27"/>
      <c r="B620" s="27"/>
      <c r="C620" s="27"/>
      <c r="D620" s="27"/>
      <c r="E620" s="15"/>
      <c r="F620" s="26"/>
      <c r="G620" s="15"/>
      <c r="H620" s="26"/>
    </row>
    <row r="621" spans="1:8" ht="15" customHeight="1" x14ac:dyDescent="0.25">
      <c r="A621" s="27"/>
      <c r="B621" s="27"/>
      <c r="C621" s="27"/>
      <c r="D621" s="27"/>
      <c r="E621" s="15"/>
      <c r="F621" s="26"/>
      <c r="G621" s="15"/>
      <c r="H621" s="26"/>
    </row>
    <row r="622" spans="1:8" ht="15" customHeight="1" x14ac:dyDescent="0.25">
      <c r="A622" s="27"/>
      <c r="B622" s="27"/>
      <c r="C622" s="27"/>
      <c r="D622" s="27"/>
      <c r="E622" s="15"/>
      <c r="F622" s="26"/>
      <c r="G622" s="15"/>
      <c r="H622" s="26"/>
    </row>
    <row r="623" spans="1:8" ht="15" customHeight="1" x14ac:dyDescent="0.25">
      <c r="A623" s="27"/>
      <c r="B623" s="27"/>
      <c r="C623" s="27"/>
      <c r="D623" s="27"/>
      <c r="E623" s="15"/>
      <c r="F623" s="26"/>
      <c r="G623" s="15"/>
      <c r="H623" s="26"/>
    </row>
    <row r="624" spans="1:8" ht="15" customHeight="1" x14ac:dyDescent="0.25">
      <c r="A624" s="27"/>
      <c r="B624" s="27"/>
      <c r="C624" s="27"/>
      <c r="D624" s="27"/>
      <c r="E624" s="15"/>
      <c r="F624" s="26"/>
      <c r="G624" s="15"/>
      <c r="H624" s="26"/>
    </row>
    <row r="625" spans="1:8" ht="15" customHeight="1" x14ac:dyDescent="0.25">
      <c r="A625" s="27"/>
      <c r="B625" s="27"/>
      <c r="C625" s="27"/>
      <c r="D625" s="27"/>
      <c r="E625" s="15"/>
      <c r="F625" s="26"/>
      <c r="G625" s="15"/>
      <c r="H625" s="26"/>
    </row>
    <row r="626" spans="1:8" ht="15" customHeight="1" x14ac:dyDescent="0.25">
      <c r="A626" s="27"/>
      <c r="B626" s="27"/>
      <c r="C626" s="27"/>
      <c r="D626" s="27"/>
      <c r="E626" s="15"/>
      <c r="F626" s="26"/>
      <c r="G626" s="15"/>
      <c r="H626" s="26"/>
    </row>
    <row r="627" spans="1:8" ht="15" customHeight="1" x14ac:dyDescent="0.25">
      <c r="A627" s="27"/>
      <c r="B627" s="27"/>
      <c r="C627" s="27"/>
      <c r="D627" s="27"/>
      <c r="E627" s="15"/>
      <c r="F627" s="26"/>
      <c r="G627" s="15"/>
      <c r="H627" s="26"/>
    </row>
    <row r="628" spans="1:8" ht="15" customHeight="1" x14ac:dyDescent="0.25">
      <c r="A628" s="27"/>
      <c r="B628" s="27"/>
      <c r="C628" s="27"/>
      <c r="D628" s="27"/>
      <c r="E628" s="15"/>
      <c r="F628" s="26"/>
      <c r="G628" s="15"/>
      <c r="H628" s="26"/>
    </row>
    <row r="629" spans="1:8" ht="15" customHeight="1" x14ac:dyDescent="0.25">
      <c r="A629" s="27"/>
      <c r="B629" s="27"/>
      <c r="C629" s="27"/>
      <c r="D629" s="27"/>
      <c r="E629" s="15"/>
      <c r="F629" s="26"/>
      <c r="G629" s="15"/>
      <c r="H629" s="26"/>
    </row>
    <row r="630" spans="1:8" ht="15" customHeight="1" x14ac:dyDescent="0.25">
      <c r="A630" s="27"/>
      <c r="B630" s="27"/>
      <c r="C630" s="27"/>
      <c r="D630" s="27"/>
      <c r="E630" s="15"/>
      <c r="F630" s="26"/>
      <c r="G630" s="15"/>
      <c r="H630" s="26"/>
    </row>
    <row r="631" spans="1:8" ht="15" customHeight="1" x14ac:dyDescent="0.25">
      <c r="A631" s="27"/>
      <c r="B631" s="27"/>
      <c r="C631" s="27"/>
      <c r="D631" s="27"/>
      <c r="E631" s="15"/>
      <c r="F631" s="26"/>
      <c r="G631" s="15"/>
      <c r="H631" s="26"/>
    </row>
    <row r="632" spans="1:8" ht="15" customHeight="1" x14ac:dyDescent="0.25">
      <c r="A632" s="27"/>
      <c r="B632" s="27"/>
      <c r="C632" s="27"/>
      <c r="D632" s="27"/>
      <c r="E632" s="15"/>
      <c r="F632" s="26"/>
      <c r="G632" s="15"/>
      <c r="H632" s="26"/>
    </row>
    <row r="633" spans="1:8" ht="15" customHeight="1" x14ac:dyDescent="0.25">
      <c r="A633" s="27"/>
      <c r="B633" s="27"/>
      <c r="C633" s="27"/>
      <c r="D633" s="27"/>
      <c r="E633" s="15"/>
      <c r="F633" s="26"/>
      <c r="G633" s="15"/>
      <c r="H633" s="26"/>
    </row>
    <row r="634" spans="1:8" ht="15" customHeight="1" x14ac:dyDescent="0.25">
      <c r="A634" s="27"/>
      <c r="B634" s="27"/>
      <c r="C634" s="27"/>
      <c r="D634" s="27"/>
      <c r="E634" s="15"/>
      <c r="F634" s="26"/>
      <c r="G634" s="15"/>
      <c r="H634" s="26"/>
    </row>
    <row r="635" spans="1:8" ht="15" customHeight="1" x14ac:dyDescent="0.25">
      <c r="A635" s="27"/>
      <c r="B635" s="27"/>
      <c r="C635" s="27"/>
      <c r="D635" s="27"/>
      <c r="E635" s="15"/>
      <c r="F635" s="26"/>
      <c r="G635" s="15"/>
      <c r="H635" s="26"/>
    </row>
    <row r="636" spans="1:8" ht="15" customHeight="1" x14ac:dyDescent="0.25">
      <c r="A636" s="27"/>
      <c r="B636" s="27"/>
      <c r="C636" s="27"/>
      <c r="D636" s="27"/>
      <c r="E636" s="15"/>
      <c r="F636" s="26"/>
      <c r="G636" s="15"/>
      <c r="H636" s="26"/>
    </row>
    <row r="637" spans="1:8" ht="15" customHeight="1" x14ac:dyDescent="0.25">
      <c r="A637" s="27"/>
      <c r="B637" s="27"/>
      <c r="C637" s="27"/>
      <c r="D637" s="27"/>
      <c r="E637" s="15"/>
      <c r="F637" s="26"/>
      <c r="G637" s="15"/>
      <c r="H637" s="26"/>
    </row>
    <row r="638" spans="1:8" ht="15" customHeight="1" x14ac:dyDescent="0.25">
      <c r="A638" s="27"/>
      <c r="B638" s="27"/>
      <c r="C638" s="27"/>
      <c r="D638" s="27"/>
      <c r="E638" s="15"/>
      <c r="F638" s="26"/>
      <c r="G638" s="15"/>
      <c r="H638" s="26"/>
    </row>
    <row r="639" spans="1:8" ht="15" customHeight="1" x14ac:dyDescent="0.25">
      <c r="A639" s="27"/>
      <c r="B639" s="27"/>
      <c r="C639" s="27"/>
      <c r="D639" s="27"/>
      <c r="E639" s="15"/>
      <c r="F639" s="26"/>
      <c r="G639" s="15"/>
      <c r="H639" s="26"/>
    </row>
    <row r="640" spans="1:8" ht="15" customHeight="1" x14ac:dyDescent="0.25">
      <c r="A640" s="27"/>
      <c r="B640" s="27"/>
      <c r="C640" s="27"/>
      <c r="D640" s="27"/>
      <c r="E640" s="15"/>
      <c r="F640" s="26"/>
      <c r="G640" s="15"/>
      <c r="H640" s="26"/>
    </row>
    <row r="641" spans="1:8" ht="15" customHeight="1" x14ac:dyDescent="0.25">
      <c r="A641" s="27"/>
      <c r="B641" s="27"/>
      <c r="C641" s="27"/>
      <c r="D641" s="27"/>
      <c r="E641" s="15"/>
      <c r="F641" s="26"/>
      <c r="G641" s="15"/>
      <c r="H641" s="26"/>
    </row>
    <row r="642" spans="1:8" ht="15" customHeight="1" x14ac:dyDescent="0.25">
      <c r="A642" s="27"/>
      <c r="B642" s="27"/>
      <c r="C642" s="27"/>
      <c r="D642" s="27"/>
      <c r="E642" s="15"/>
      <c r="F642" s="26"/>
      <c r="G642" s="15"/>
      <c r="H642" s="26"/>
    </row>
    <row r="643" spans="1:8" ht="15" customHeight="1" x14ac:dyDescent="0.25">
      <c r="A643" s="27"/>
      <c r="B643" s="27"/>
      <c r="C643" s="27"/>
      <c r="D643" s="27"/>
      <c r="E643" s="15"/>
      <c r="F643" s="26"/>
      <c r="G643" s="15"/>
      <c r="H643" s="26"/>
    </row>
    <row r="644" spans="1:8" ht="15" customHeight="1" x14ac:dyDescent="0.25">
      <c r="A644" s="27"/>
      <c r="B644" s="27"/>
      <c r="C644" s="27"/>
      <c r="D644" s="27"/>
      <c r="E644" s="15"/>
      <c r="F644" s="26"/>
      <c r="G644" s="15"/>
      <c r="H644" s="26"/>
    </row>
    <row r="645" spans="1:8" ht="15" customHeight="1" x14ac:dyDescent="0.25">
      <c r="A645" s="27"/>
      <c r="B645" s="27"/>
      <c r="C645" s="27"/>
      <c r="D645" s="27"/>
      <c r="E645" s="15"/>
      <c r="F645" s="26"/>
      <c r="G645" s="15"/>
      <c r="H645" s="26"/>
    </row>
    <row r="646" spans="1:8" ht="15" customHeight="1" x14ac:dyDescent="0.25">
      <c r="A646" s="27"/>
      <c r="B646" s="27"/>
      <c r="C646" s="27"/>
      <c r="D646" s="27"/>
      <c r="E646" s="15"/>
      <c r="F646" s="26"/>
      <c r="G646" s="15"/>
      <c r="H646" s="26"/>
    </row>
    <row r="647" spans="1:8" ht="15" customHeight="1" x14ac:dyDescent="0.25">
      <c r="A647" s="27"/>
      <c r="B647" s="27"/>
      <c r="C647" s="27"/>
      <c r="D647" s="27"/>
      <c r="E647" s="15"/>
      <c r="F647" s="26"/>
      <c r="G647" s="15"/>
      <c r="H647" s="26"/>
    </row>
    <row r="648" spans="1:8" ht="15" customHeight="1" x14ac:dyDescent="0.25">
      <c r="A648" s="27"/>
      <c r="B648" s="27"/>
      <c r="C648" s="27"/>
      <c r="D648" s="27"/>
      <c r="E648" s="15"/>
      <c r="F648" s="26"/>
      <c r="G648" s="15"/>
      <c r="H648" s="26"/>
    </row>
    <row r="649" spans="1:8" ht="15" customHeight="1" x14ac:dyDescent="0.25">
      <c r="A649" s="27"/>
      <c r="B649" s="27"/>
      <c r="C649" s="27"/>
      <c r="D649" s="27"/>
      <c r="E649" s="15"/>
      <c r="F649" s="26"/>
      <c r="G649" s="15"/>
      <c r="H649" s="26"/>
    </row>
    <row r="650" spans="1:8" ht="15" customHeight="1" x14ac:dyDescent="0.25">
      <c r="A650" s="27"/>
      <c r="B650" s="27"/>
      <c r="C650" s="27"/>
      <c r="D650" s="27"/>
      <c r="E650" s="15"/>
      <c r="F650" s="26"/>
      <c r="G650" s="15"/>
      <c r="H650" s="26"/>
    </row>
    <row r="651" spans="1:8" ht="15" customHeight="1" x14ac:dyDescent="0.25">
      <c r="A651" s="27"/>
      <c r="B651" s="27"/>
      <c r="C651" s="27"/>
      <c r="D651" s="27"/>
      <c r="E651" s="15"/>
      <c r="F651" s="26"/>
      <c r="G651" s="15"/>
      <c r="H651" s="26"/>
    </row>
    <row r="652" spans="1:8" ht="15" customHeight="1" x14ac:dyDescent="0.25">
      <c r="A652" s="27"/>
      <c r="B652" s="27"/>
      <c r="C652" s="27"/>
      <c r="D652" s="27"/>
      <c r="E652" s="15"/>
      <c r="F652" s="26"/>
      <c r="G652" s="15"/>
      <c r="H652" s="26"/>
    </row>
    <row r="653" spans="1:8" ht="15" customHeight="1" x14ac:dyDescent="0.25">
      <c r="A653" s="27"/>
      <c r="B653" s="27"/>
      <c r="C653" s="27"/>
      <c r="D653" s="27"/>
      <c r="E653" s="15"/>
      <c r="F653" s="26"/>
      <c r="G653" s="15"/>
      <c r="H653" s="26"/>
    </row>
    <row r="654" spans="1:8" ht="15" customHeight="1" x14ac:dyDescent="0.25">
      <c r="A654" s="27"/>
      <c r="B654" s="27"/>
      <c r="C654" s="27"/>
      <c r="D654" s="27"/>
      <c r="E654" s="15"/>
      <c r="F654" s="26"/>
      <c r="G654" s="15"/>
      <c r="H654" s="26"/>
    </row>
    <row r="655" spans="1:8" ht="15" customHeight="1" x14ac:dyDescent="0.25">
      <c r="A655" s="27"/>
      <c r="B655" s="27"/>
      <c r="C655" s="27"/>
      <c r="D655" s="27"/>
      <c r="E655" s="15"/>
      <c r="F655" s="26"/>
      <c r="G655" s="15"/>
      <c r="H655" s="26"/>
    </row>
    <row r="656" spans="1:8" ht="15" customHeight="1" x14ac:dyDescent="0.25">
      <c r="A656" s="27"/>
      <c r="B656" s="27"/>
      <c r="C656" s="27"/>
      <c r="D656" s="27"/>
      <c r="E656" s="15"/>
      <c r="F656" s="26"/>
      <c r="G656" s="15"/>
      <c r="H656" s="26"/>
    </row>
    <row r="657" spans="1:8" ht="15" customHeight="1" x14ac:dyDescent="0.25">
      <c r="A657" s="27"/>
      <c r="B657" s="27"/>
      <c r="C657" s="27"/>
      <c r="D657" s="27"/>
      <c r="E657" s="15"/>
      <c r="F657" s="26"/>
      <c r="G657" s="15"/>
      <c r="H657" s="26"/>
    </row>
    <row r="658" spans="1:8" ht="15" customHeight="1" x14ac:dyDescent="0.25">
      <c r="A658" s="27"/>
      <c r="B658" s="27"/>
      <c r="C658" s="27"/>
      <c r="D658" s="27"/>
      <c r="E658" s="15"/>
      <c r="F658" s="26"/>
      <c r="G658" s="15"/>
      <c r="H658" s="26"/>
    </row>
    <row r="659" spans="1:8" ht="15" customHeight="1" x14ac:dyDescent="0.25">
      <c r="A659" s="27"/>
      <c r="B659" s="27"/>
      <c r="C659" s="27"/>
      <c r="D659" s="27"/>
      <c r="E659" s="15"/>
      <c r="F659" s="26"/>
      <c r="G659" s="15"/>
      <c r="H659" s="26"/>
    </row>
    <row r="660" spans="1:8" ht="15" customHeight="1" x14ac:dyDescent="0.25">
      <c r="A660" s="27"/>
      <c r="B660" s="27"/>
      <c r="C660" s="27"/>
      <c r="D660" s="27"/>
      <c r="E660" s="15"/>
      <c r="F660" s="26"/>
      <c r="G660" s="15"/>
      <c r="H660" s="26"/>
    </row>
    <row r="661" spans="1:8" ht="15" customHeight="1" x14ac:dyDescent="0.25">
      <c r="A661" s="27"/>
      <c r="B661" s="27"/>
      <c r="C661" s="27"/>
      <c r="D661" s="27"/>
      <c r="E661" s="15"/>
      <c r="F661" s="26"/>
      <c r="G661" s="15"/>
      <c r="H661" s="26"/>
    </row>
    <row r="662" spans="1:8" ht="15" customHeight="1" x14ac:dyDescent="0.25">
      <c r="A662" s="27"/>
      <c r="B662" s="27"/>
      <c r="C662" s="27"/>
      <c r="D662" s="27"/>
      <c r="E662" s="15"/>
      <c r="F662" s="26"/>
      <c r="G662" s="15"/>
      <c r="H662" s="26"/>
    </row>
    <row r="663" spans="1:8" ht="15" customHeight="1" x14ac:dyDescent="0.25">
      <c r="A663" s="27"/>
      <c r="B663" s="27"/>
      <c r="C663" s="27"/>
      <c r="D663" s="27"/>
      <c r="E663" s="15"/>
      <c r="F663" s="26"/>
      <c r="G663" s="15"/>
      <c r="H663" s="26"/>
    </row>
    <row r="664" spans="1:8" ht="15" customHeight="1" x14ac:dyDescent="0.25">
      <c r="A664" s="27"/>
      <c r="B664" s="27"/>
      <c r="C664" s="27"/>
      <c r="D664" s="27"/>
      <c r="E664" s="15"/>
      <c r="F664" s="26"/>
      <c r="G664" s="15"/>
      <c r="H664" s="26"/>
    </row>
    <row r="665" spans="1:8" ht="15" customHeight="1" x14ac:dyDescent="0.25">
      <c r="A665" s="27"/>
      <c r="B665" s="27"/>
      <c r="C665" s="27"/>
      <c r="D665" s="27"/>
      <c r="E665" s="15"/>
      <c r="F665" s="26"/>
      <c r="G665" s="15"/>
      <c r="H665" s="26"/>
    </row>
    <row r="666" spans="1:8" ht="15" customHeight="1" x14ac:dyDescent="0.25">
      <c r="A666" s="27"/>
      <c r="B666" s="27"/>
      <c r="C666" s="27"/>
      <c r="D666" s="27"/>
      <c r="E666" s="15"/>
      <c r="F666" s="26"/>
      <c r="G666" s="15"/>
      <c r="H666" s="26"/>
    </row>
    <row r="667" spans="1:8" ht="15" customHeight="1" x14ac:dyDescent="0.25">
      <c r="A667" s="27"/>
      <c r="B667" s="27"/>
      <c r="C667" s="27"/>
      <c r="D667" s="27"/>
      <c r="E667" s="15"/>
      <c r="F667" s="26"/>
      <c r="G667" s="15"/>
      <c r="H667" s="26"/>
    </row>
    <row r="668" spans="1:8" ht="15" customHeight="1" x14ac:dyDescent="0.25">
      <c r="A668" s="27"/>
      <c r="B668" s="27"/>
      <c r="C668" s="27"/>
      <c r="D668" s="27"/>
      <c r="E668" s="15"/>
      <c r="F668" s="26"/>
      <c r="G668" s="15"/>
      <c r="H668" s="26"/>
    </row>
    <row r="669" spans="1:8" ht="15" customHeight="1" x14ac:dyDescent="0.25">
      <c r="A669" s="27"/>
      <c r="B669" s="27"/>
      <c r="C669" s="27"/>
      <c r="D669" s="27"/>
      <c r="E669" s="15"/>
      <c r="F669" s="26"/>
      <c r="G669" s="15"/>
      <c r="H669" s="26"/>
    </row>
    <row r="670" spans="1:8" ht="15" customHeight="1" x14ac:dyDescent="0.25">
      <c r="A670" s="27"/>
      <c r="B670" s="27"/>
      <c r="C670" s="27"/>
      <c r="D670" s="27"/>
      <c r="E670" s="15"/>
      <c r="F670" s="26"/>
      <c r="G670" s="15"/>
      <c r="H670" s="26"/>
    </row>
    <row r="671" spans="1:8" ht="15" customHeight="1" x14ac:dyDescent="0.25">
      <c r="A671" s="27"/>
      <c r="B671" s="27"/>
      <c r="C671" s="27"/>
      <c r="D671" s="27"/>
      <c r="E671" s="15"/>
      <c r="F671" s="26"/>
      <c r="G671" s="15"/>
      <c r="H671" s="26"/>
    </row>
    <row r="672" spans="1:8" ht="15" customHeight="1" x14ac:dyDescent="0.25">
      <c r="A672" s="27"/>
      <c r="B672" s="27"/>
      <c r="C672" s="27"/>
      <c r="D672" s="27"/>
      <c r="E672" s="15"/>
      <c r="F672" s="26"/>
      <c r="G672" s="15"/>
      <c r="H672" s="26"/>
    </row>
    <row r="673" spans="1:8" ht="15" customHeight="1" x14ac:dyDescent="0.25">
      <c r="A673" s="27"/>
      <c r="B673" s="27"/>
      <c r="C673" s="27"/>
      <c r="D673" s="27"/>
      <c r="E673" s="15"/>
      <c r="F673" s="26"/>
      <c r="G673" s="15"/>
      <c r="H673" s="26"/>
    </row>
    <row r="674" spans="1:8" ht="15" customHeight="1" x14ac:dyDescent="0.25">
      <c r="A674" s="27"/>
      <c r="B674" s="27"/>
      <c r="C674" s="27"/>
      <c r="D674" s="27"/>
      <c r="E674" s="15"/>
      <c r="F674" s="26"/>
      <c r="G674" s="15"/>
      <c r="H674" s="26"/>
    </row>
    <row r="675" spans="1:8" ht="15" customHeight="1" x14ac:dyDescent="0.25">
      <c r="A675" s="27"/>
      <c r="B675" s="27"/>
      <c r="C675" s="27"/>
      <c r="D675" s="27"/>
      <c r="E675" s="15"/>
      <c r="F675" s="26"/>
      <c r="G675" s="15"/>
      <c r="H675" s="26"/>
    </row>
    <row r="676" spans="1:8" ht="15" customHeight="1" x14ac:dyDescent="0.25">
      <c r="A676" s="27"/>
      <c r="B676" s="27"/>
      <c r="C676" s="27"/>
      <c r="D676" s="27"/>
      <c r="E676" s="15"/>
      <c r="F676" s="26"/>
      <c r="G676" s="15"/>
      <c r="H676" s="26"/>
    </row>
    <row r="677" spans="1:8" ht="15" customHeight="1" x14ac:dyDescent="0.25">
      <c r="A677" s="27"/>
      <c r="B677" s="27"/>
      <c r="C677" s="27"/>
      <c r="D677" s="27"/>
      <c r="E677" s="15"/>
      <c r="F677" s="26"/>
      <c r="G677" s="15"/>
      <c r="H677" s="26"/>
    </row>
    <row r="678" spans="1:8" ht="15" customHeight="1" x14ac:dyDescent="0.25">
      <c r="A678" s="27"/>
      <c r="B678" s="27"/>
      <c r="C678" s="27"/>
      <c r="D678" s="27"/>
      <c r="E678" s="15"/>
      <c r="F678" s="26"/>
      <c r="G678" s="15"/>
      <c r="H678" s="26"/>
    </row>
    <row r="679" spans="1:8" ht="15" customHeight="1" x14ac:dyDescent="0.25">
      <c r="A679" s="27"/>
      <c r="B679" s="27"/>
      <c r="C679" s="27"/>
      <c r="D679" s="27"/>
      <c r="E679" s="15"/>
      <c r="F679" s="26"/>
      <c r="G679" s="15"/>
      <c r="H679" s="26"/>
    </row>
    <row r="680" spans="1:8" ht="15" customHeight="1" x14ac:dyDescent="0.25">
      <c r="A680" s="27"/>
      <c r="B680" s="27"/>
      <c r="C680" s="27"/>
      <c r="D680" s="27"/>
      <c r="E680" s="15"/>
      <c r="F680" s="26"/>
      <c r="G680" s="15"/>
      <c r="H680" s="26"/>
    </row>
    <row r="681" spans="1:8" ht="15" customHeight="1" x14ac:dyDescent="0.25">
      <c r="A681" s="27"/>
      <c r="B681" s="27"/>
      <c r="C681" s="27"/>
      <c r="D681" s="27"/>
      <c r="E681" s="15"/>
      <c r="F681" s="26"/>
      <c r="G681" s="15"/>
      <c r="H681" s="26"/>
    </row>
    <row r="682" spans="1:8" ht="15" customHeight="1" x14ac:dyDescent="0.25">
      <c r="A682" s="27"/>
      <c r="B682" s="27"/>
      <c r="C682" s="27"/>
      <c r="D682" s="27"/>
      <c r="E682" s="15"/>
      <c r="F682" s="26"/>
      <c r="G682" s="15"/>
      <c r="H682" s="26"/>
    </row>
    <row r="683" spans="1:8" ht="15" customHeight="1" x14ac:dyDescent="0.25">
      <c r="A683" s="27"/>
      <c r="B683" s="27"/>
      <c r="C683" s="27"/>
      <c r="D683" s="27"/>
      <c r="E683" s="15"/>
      <c r="F683" s="26"/>
      <c r="G683" s="15"/>
      <c r="H683" s="26"/>
    </row>
    <row r="684" spans="1:8" ht="15" customHeight="1" x14ac:dyDescent="0.25">
      <c r="A684" s="27"/>
      <c r="B684" s="27"/>
      <c r="C684" s="27"/>
      <c r="D684" s="27"/>
      <c r="E684" s="15"/>
      <c r="F684" s="26"/>
      <c r="G684" s="15"/>
      <c r="H684" s="26"/>
    </row>
    <row r="685" spans="1:8" ht="15" customHeight="1" x14ac:dyDescent="0.25">
      <c r="A685" s="27"/>
      <c r="B685" s="27"/>
      <c r="C685" s="27"/>
      <c r="D685" s="27"/>
      <c r="E685" s="15"/>
      <c r="F685" s="26"/>
      <c r="G685" s="15"/>
      <c r="H685" s="26"/>
    </row>
    <row r="686" spans="1:8" ht="15" customHeight="1" x14ac:dyDescent="0.25">
      <c r="A686" s="27"/>
      <c r="B686" s="27"/>
      <c r="C686" s="27"/>
      <c r="D686" s="27"/>
      <c r="E686" s="15"/>
      <c r="F686" s="26"/>
      <c r="G686" s="15"/>
      <c r="H686" s="26"/>
    </row>
    <row r="687" spans="1:8" ht="15" customHeight="1" x14ac:dyDescent="0.25">
      <c r="A687" s="27"/>
      <c r="B687" s="27"/>
      <c r="C687" s="27"/>
      <c r="D687" s="27"/>
      <c r="E687" s="15"/>
      <c r="F687" s="26"/>
      <c r="G687" s="15"/>
      <c r="H687" s="26"/>
    </row>
    <row r="688" spans="1:8" ht="15" customHeight="1" x14ac:dyDescent="0.25">
      <c r="A688" s="27"/>
      <c r="B688" s="27"/>
      <c r="C688" s="27"/>
      <c r="D688" s="27"/>
      <c r="E688" s="15"/>
      <c r="F688" s="26"/>
      <c r="G688" s="15"/>
      <c r="H688" s="26"/>
    </row>
    <row r="689" spans="1:8" ht="15" customHeight="1" x14ac:dyDescent="0.25">
      <c r="A689" s="27"/>
      <c r="B689" s="27"/>
      <c r="C689" s="27"/>
      <c r="D689" s="27"/>
      <c r="E689" s="15"/>
      <c r="F689" s="26"/>
      <c r="G689" s="15"/>
      <c r="H689" s="26"/>
    </row>
    <row r="690" spans="1:8" ht="15" customHeight="1" x14ac:dyDescent="0.25">
      <c r="A690" s="27"/>
      <c r="B690" s="27"/>
      <c r="C690" s="27"/>
      <c r="D690" s="27"/>
      <c r="E690" s="15"/>
      <c r="F690" s="26"/>
      <c r="G690" s="15"/>
      <c r="H690" s="26"/>
    </row>
    <row r="691" spans="1:8" ht="15" customHeight="1" x14ac:dyDescent="0.25">
      <c r="A691" s="27"/>
      <c r="B691" s="27"/>
      <c r="C691" s="27"/>
      <c r="D691" s="27"/>
      <c r="E691" s="15"/>
      <c r="F691" s="26"/>
      <c r="G691" s="15"/>
      <c r="H691" s="26"/>
    </row>
    <row r="692" spans="1:8" ht="15" customHeight="1" x14ac:dyDescent="0.25">
      <c r="A692" s="27"/>
      <c r="B692" s="27"/>
      <c r="C692" s="27"/>
      <c r="D692" s="27"/>
      <c r="E692" s="15"/>
      <c r="F692" s="26"/>
      <c r="G692" s="15"/>
      <c r="H692" s="26"/>
    </row>
    <row r="693" spans="1:8" ht="15" customHeight="1" x14ac:dyDescent="0.25">
      <c r="A693" s="27"/>
      <c r="B693" s="27"/>
      <c r="C693" s="27"/>
      <c r="D693" s="27"/>
      <c r="E693" s="15"/>
      <c r="F693" s="26"/>
      <c r="G693" s="15"/>
      <c r="H693" s="26"/>
    </row>
    <row r="694" spans="1:8" ht="15" customHeight="1" x14ac:dyDescent="0.25">
      <c r="A694" s="27"/>
      <c r="B694" s="27"/>
      <c r="C694" s="27"/>
      <c r="D694" s="27"/>
      <c r="E694" s="15"/>
      <c r="F694" s="26"/>
      <c r="G694" s="15"/>
      <c r="H694" s="26"/>
    </row>
    <row r="695" spans="1:8" ht="15" customHeight="1" x14ac:dyDescent="0.25">
      <c r="A695" s="27"/>
      <c r="B695" s="27"/>
      <c r="C695" s="27"/>
      <c r="D695" s="27"/>
      <c r="E695" s="15"/>
      <c r="F695" s="26"/>
      <c r="G695" s="15"/>
      <c r="H695" s="26"/>
    </row>
    <row r="696" spans="1:8" ht="15" customHeight="1" x14ac:dyDescent="0.25">
      <c r="A696" s="27"/>
      <c r="B696" s="27"/>
      <c r="C696" s="27"/>
      <c r="D696" s="27"/>
      <c r="E696" s="15"/>
      <c r="F696" s="26"/>
      <c r="G696" s="15"/>
      <c r="H696" s="26"/>
    </row>
    <row r="697" spans="1:8" ht="15" customHeight="1" x14ac:dyDescent="0.25">
      <c r="A697" s="27"/>
      <c r="B697" s="27"/>
      <c r="C697" s="27"/>
      <c r="D697" s="27"/>
      <c r="E697" s="15"/>
      <c r="F697" s="26"/>
      <c r="G697" s="15"/>
      <c r="H697" s="26"/>
    </row>
    <row r="698" spans="1:8" ht="15" customHeight="1" x14ac:dyDescent="0.25">
      <c r="A698" s="27"/>
      <c r="B698" s="27"/>
      <c r="C698" s="27"/>
      <c r="D698" s="27"/>
      <c r="E698" s="15"/>
      <c r="F698" s="26"/>
      <c r="G698" s="15"/>
      <c r="H698" s="26"/>
    </row>
    <row r="699" spans="1:8" ht="15" customHeight="1" x14ac:dyDescent="0.25">
      <c r="A699" s="27"/>
      <c r="B699" s="27"/>
      <c r="C699" s="27"/>
      <c r="D699" s="27"/>
      <c r="E699" s="15"/>
      <c r="F699" s="26"/>
      <c r="G699" s="15"/>
      <c r="H699" s="26"/>
    </row>
    <row r="700" spans="1:8" ht="15" customHeight="1" x14ac:dyDescent="0.25">
      <c r="A700" s="27"/>
      <c r="B700" s="27"/>
      <c r="C700" s="27"/>
      <c r="D700" s="27"/>
      <c r="E700" s="15"/>
      <c r="F700" s="26"/>
      <c r="G700" s="15"/>
      <c r="H700" s="26"/>
    </row>
    <row r="701" spans="1:8" ht="15" customHeight="1" x14ac:dyDescent="0.25">
      <c r="A701" s="27"/>
      <c r="B701" s="27"/>
      <c r="C701" s="27"/>
      <c r="D701" s="27"/>
      <c r="E701" s="15"/>
      <c r="F701" s="26"/>
      <c r="G701" s="15"/>
      <c r="H701" s="26"/>
    </row>
    <row r="702" spans="1:8" ht="15" customHeight="1" x14ac:dyDescent="0.25">
      <c r="A702" s="27"/>
      <c r="B702" s="27"/>
      <c r="C702" s="27"/>
      <c r="D702" s="27"/>
      <c r="E702" s="15"/>
      <c r="F702" s="26"/>
      <c r="G702" s="15"/>
      <c r="H702" s="26"/>
    </row>
    <row r="703" spans="1:8" ht="15" customHeight="1" x14ac:dyDescent="0.25">
      <c r="A703" s="27"/>
      <c r="B703" s="27"/>
      <c r="C703" s="27"/>
      <c r="D703" s="27"/>
      <c r="E703" s="15"/>
      <c r="F703" s="26"/>
      <c r="G703" s="15"/>
      <c r="H703" s="26"/>
    </row>
    <row r="704" spans="1:8" ht="15" customHeight="1" x14ac:dyDescent="0.25">
      <c r="A704" s="27"/>
      <c r="B704" s="27"/>
      <c r="C704" s="27"/>
      <c r="D704" s="27"/>
      <c r="E704" s="15"/>
      <c r="F704" s="26"/>
      <c r="G704" s="15"/>
      <c r="H704" s="26"/>
    </row>
    <row r="705" spans="1:8" ht="15" customHeight="1" x14ac:dyDescent="0.25">
      <c r="A705" s="27"/>
      <c r="B705" s="27"/>
      <c r="C705" s="27"/>
      <c r="D705" s="27"/>
      <c r="E705" s="15"/>
      <c r="F705" s="26"/>
      <c r="G705" s="15"/>
      <c r="H705" s="26"/>
    </row>
    <row r="706" spans="1:8" ht="15" customHeight="1" x14ac:dyDescent="0.25">
      <c r="A706" s="27"/>
      <c r="B706" s="27"/>
      <c r="C706" s="27"/>
      <c r="D706" s="27"/>
      <c r="E706" s="15"/>
      <c r="F706" s="26"/>
      <c r="G706" s="15"/>
      <c r="H706" s="26"/>
    </row>
    <row r="707" spans="1:8" ht="15" customHeight="1" x14ac:dyDescent="0.25">
      <c r="A707" s="27"/>
      <c r="B707" s="27"/>
      <c r="C707" s="27"/>
      <c r="D707" s="27"/>
      <c r="E707" s="15"/>
      <c r="F707" s="26"/>
      <c r="G707" s="15"/>
      <c r="H707" s="26"/>
    </row>
    <row r="708" spans="1:8" ht="15" customHeight="1" x14ac:dyDescent="0.25">
      <c r="A708" s="27"/>
      <c r="B708" s="27"/>
      <c r="C708" s="27"/>
      <c r="D708" s="27"/>
      <c r="E708" s="15"/>
      <c r="F708" s="26"/>
      <c r="G708" s="15"/>
      <c r="H708" s="26"/>
    </row>
    <row r="709" spans="1:8" ht="15" customHeight="1" x14ac:dyDescent="0.25">
      <c r="A709" s="27"/>
      <c r="B709" s="27"/>
      <c r="C709" s="27"/>
      <c r="D709" s="27"/>
      <c r="E709" s="15"/>
      <c r="F709" s="26"/>
      <c r="G709" s="15"/>
      <c r="H709" s="26"/>
    </row>
    <row r="710" spans="1:8" ht="15" customHeight="1" x14ac:dyDescent="0.25">
      <c r="A710" s="27"/>
      <c r="B710" s="27"/>
      <c r="C710" s="27"/>
      <c r="D710" s="27"/>
      <c r="E710" s="15"/>
      <c r="F710" s="26"/>
      <c r="G710" s="15"/>
      <c r="H710" s="26"/>
    </row>
    <row r="711" spans="1:8" ht="15" customHeight="1" x14ac:dyDescent="0.25">
      <c r="A711" s="27"/>
      <c r="B711" s="27"/>
      <c r="C711" s="27"/>
      <c r="D711" s="27"/>
      <c r="E711" s="15"/>
      <c r="F711" s="26"/>
      <c r="G711" s="15"/>
      <c r="H711" s="26"/>
    </row>
    <row r="712" spans="1:8" ht="15" customHeight="1" x14ac:dyDescent="0.25">
      <c r="A712" s="27"/>
      <c r="B712" s="27"/>
      <c r="C712" s="27"/>
      <c r="D712" s="27"/>
      <c r="E712" s="15"/>
      <c r="F712" s="26"/>
      <c r="G712" s="15"/>
      <c r="H712" s="26"/>
    </row>
    <row r="713" spans="1:8" ht="15" customHeight="1" x14ac:dyDescent="0.25">
      <c r="A713" s="27"/>
      <c r="B713" s="27"/>
      <c r="C713" s="27"/>
      <c r="D713" s="27"/>
      <c r="E713" s="15"/>
      <c r="F713" s="26"/>
      <c r="G713" s="15"/>
      <c r="H713" s="26"/>
    </row>
    <row r="714" spans="1:8" ht="15" customHeight="1" x14ac:dyDescent="0.25">
      <c r="A714" s="27"/>
      <c r="B714" s="27"/>
      <c r="C714" s="27"/>
      <c r="D714" s="27"/>
      <c r="E714" s="15"/>
      <c r="F714" s="26"/>
      <c r="G714" s="15"/>
      <c r="H714" s="26"/>
    </row>
    <row r="715" spans="1:8" ht="15" customHeight="1" x14ac:dyDescent="0.25">
      <c r="A715" s="27"/>
      <c r="B715" s="27"/>
      <c r="C715" s="27"/>
      <c r="D715" s="27"/>
      <c r="E715" s="15"/>
      <c r="F715" s="26"/>
      <c r="G715" s="15"/>
      <c r="H715" s="26"/>
    </row>
    <row r="716" spans="1:8" ht="15" customHeight="1" x14ac:dyDescent="0.25">
      <c r="A716" s="27"/>
      <c r="B716" s="27"/>
      <c r="C716" s="27"/>
      <c r="D716" s="27"/>
      <c r="E716" s="15"/>
      <c r="F716" s="26"/>
      <c r="G716" s="15"/>
      <c r="H716" s="26"/>
    </row>
    <row r="717" spans="1:8" ht="15" customHeight="1" x14ac:dyDescent="0.25">
      <c r="A717" s="27"/>
      <c r="B717" s="27"/>
      <c r="C717" s="27"/>
      <c r="D717" s="27"/>
      <c r="E717" s="15"/>
      <c r="F717" s="26"/>
      <c r="G717" s="15"/>
      <c r="H717" s="26"/>
    </row>
    <row r="718" spans="1:8" ht="15" customHeight="1" x14ac:dyDescent="0.25">
      <c r="A718" s="27"/>
      <c r="B718" s="27"/>
      <c r="C718" s="27"/>
      <c r="D718" s="27"/>
      <c r="E718" s="15"/>
      <c r="F718" s="26"/>
      <c r="G718" s="15"/>
      <c r="H718" s="26"/>
    </row>
    <row r="719" spans="1:8" ht="15" customHeight="1" x14ac:dyDescent="0.25">
      <c r="A719" s="27"/>
      <c r="B719" s="27"/>
      <c r="C719" s="27"/>
      <c r="D719" s="27"/>
      <c r="E719" s="15"/>
      <c r="F719" s="26"/>
      <c r="G719" s="15"/>
      <c r="H719" s="26"/>
    </row>
    <row r="720" spans="1:8" ht="15" customHeight="1" x14ac:dyDescent="0.25">
      <c r="A720" s="27"/>
      <c r="B720" s="27"/>
      <c r="C720" s="27"/>
      <c r="D720" s="27"/>
      <c r="E720" s="15"/>
      <c r="F720" s="26"/>
      <c r="G720" s="15"/>
      <c r="H720" s="26"/>
    </row>
    <row r="721" spans="1:8" ht="15" customHeight="1" x14ac:dyDescent="0.25">
      <c r="A721" s="27"/>
      <c r="B721" s="27"/>
      <c r="C721" s="27"/>
      <c r="D721" s="27"/>
      <c r="E721" s="15"/>
      <c r="F721" s="26"/>
      <c r="G721" s="15"/>
      <c r="H721" s="26"/>
    </row>
    <row r="722" spans="1:8" ht="15" customHeight="1" x14ac:dyDescent="0.25">
      <c r="A722" s="27"/>
      <c r="B722" s="27"/>
      <c r="C722" s="27"/>
      <c r="D722" s="27"/>
      <c r="E722" s="15"/>
      <c r="F722" s="26"/>
      <c r="G722" s="15"/>
      <c r="H722" s="26"/>
    </row>
    <row r="723" spans="1:8" ht="15" customHeight="1" x14ac:dyDescent="0.25">
      <c r="A723" s="27"/>
      <c r="B723" s="27"/>
      <c r="C723" s="27"/>
      <c r="D723" s="27"/>
      <c r="E723" s="15"/>
      <c r="F723" s="26"/>
      <c r="G723" s="15"/>
      <c r="H723" s="26"/>
    </row>
    <row r="724" spans="1:8" ht="15" customHeight="1" x14ac:dyDescent="0.25">
      <c r="A724" s="27"/>
      <c r="B724" s="27"/>
      <c r="C724" s="27"/>
      <c r="D724" s="27"/>
      <c r="E724" s="15"/>
      <c r="F724" s="26"/>
      <c r="G724" s="15"/>
      <c r="H724" s="26"/>
    </row>
    <row r="725" spans="1:8" ht="15" customHeight="1" x14ac:dyDescent="0.25">
      <c r="A725" s="27"/>
      <c r="B725" s="27"/>
      <c r="C725" s="27"/>
      <c r="D725" s="27"/>
      <c r="E725" s="15"/>
      <c r="F725" s="26"/>
      <c r="G725" s="15"/>
      <c r="H725" s="26"/>
    </row>
    <row r="726" spans="1:8" ht="15" customHeight="1" x14ac:dyDescent="0.25">
      <c r="A726" s="27"/>
      <c r="B726" s="27"/>
      <c r="C726" s="27"/>
      <c r="D726" s="27"/>
      <c r="E726" s="15"/>
      <c r="F726" s="26"/>
      <c r="G726" s="15"/>
      <c r="H726" s="26"/>
    </row>
    <row r="727" spans="1:8" ht="15" customHeight="1" x14ac:dyDescent="0.25">
      <c r="A727" s="27"/>
      <c r="B727" s="27"/>
      <c r="C727" s="27"/>
      <c r="D727" s="27"/>
      <c r="E727" s="15"/>
      <c r="F727" s="26"/>
      <c r="G727" s="15"/>
      <c r="H727" s="26"/>
    </row>
    <row r="728" spans="1:8" ht="15" customHeight="1" x14ac:dyDescent="0.25">
      <c r="A728" s="27"/>
      <c r="B728" s="27"/>
      <c r="C728" s="27"/>
      <c r="D728" s="27"/>
      <c r="E728" s="15"/>
      <c r="F728" s="26"/>
      <c r="G728" s="15"/>
      <c r="H728" s="26"/>
    </row>
    <row r="729" spans="1:8" ht="15" customHeight="1" x14ac:dyDescent="0.25">
      <c r="A729" s="27"/>
      <c r="B729" s="27"/>
      <c r="C729" s="27"/>
      <c r="D729" s="27"/>
      <c r="E729" s="15"/>
      <c r="F729" s="26"/>
      <c r="G729" s="15"/>
      <c r="H729" s="26"/>
    </row>
    <row r="730" spans="1:8" ht="15" customHeight="1" x14ac:dyDescent="0.25">
      <c r="A730" s="27"/>
      <c r="B730" s="27"/>
      <c r="C730" s="27"/>
      <c r="D730" s="27"/>
      <c r="E730" s="15"/>
      <c r="F730" s="26"/>
      <c r="G730" s="15"/>
      <c r="H730" s="26"/>
    </row>
    <row r="731" spans="1:8" ht="15" customHeight="1" x14ac:dyDescent="0.25">
      <c r="A731" s="27"/>
      <c r="B731" s="27"/>
      <c r="C731" s="27"/>
      <c r="D731" s="27"/>
      <c r="E731" s="15"/>
      <c r="F731" s="26"/>
      <c r="G731" s="15"/>
      <c r="H731" s="26"/>
    </row>
    <row r="732" spans="1:8" ht="15" customHeight="1" x14ac:dyDescent="0.25">
      <c r="A732" s="27"/>
      <c r="B732" s="27"/>
      <c r="C732" s="27"/>
      <c r="D732" s="27"/>
      <c r="E732" s="15"/>
      <c r="F732" s="26"/>
      <c r="G732" s="15"/>
      <c r="H732" s="26"/>
    </row>
    <row r="733" spans="1:8" ht="15" customHeight="1" x14ac:dyDescent="0.25">
      <c r="A733" s="27"/>
      <c r="B733" s="27"/>
      <c r="C733" s="27"/>
      <c r="D733" s="27"/>
      <c r="E733" s="15"/>
      <c r="F733" s="26"/>
      <c r="G733" s="15"/>
      <c r="H733" s="26"/>
    </row>
    <row r="734" spans="1:8" ht="15" customHeight="1" x14ac:dyDescent="0.25">
      <c r="A734" s="27"/>
      <c r="B734" s="27"/>
      <c r="C734" s="27"/>
      <c r="D734" s="27"/>
      <c r="E734" s="15"/>
      <c r="F734" s="26"/>
      <c r="G734" s="15"/>
      <c r="H734" s="26"/>
    </row>
    <row r="735" spans="1:8" ht="15" customHeight="1" x14ac:dyDescent="0.25">
      <c r="A735" s="27"/>
      <c r="B735" s="27"/>
      <c r="C735" s="27"/>
      <c r="D735" s="27"/>
      <c r="E735" s="15"/>
      <c r="F735" s="26"/>
      <c r="G735" s="15"/>
      <c r="H735" s="26"/>
    </row>
    <row r="736" spans="1:8" ht="15" customHeight="1" x14ac:dyDescent="0.25">
      <c r="A736" s="27"/>
      <c r="B736" s="27"/>
      <c r="C736" s="27"/>
      <c r="D736" s="27"/>
      <c r="E736" s="15"/>
      <c r="F736" s="26"/>
      <c r="G736" s="15"/>
      <c r="H736" s="26"/>
    </row>
    <row r="737" spans="1:8" ht="15" customHeight="1" x14ac:dyDescent="0.25">
      <c r="A737" s="27"/>
      <c r="B737" s="27"/>
      <c r="C737" s="27"/>
      <c r="D737" s="27"/>
      <c r="E737" s="15"/>
      <c r="F737" s="26"/>
      <c r="G737" s="15"/>
      <c r="H737" s="26"/>
    </row>
    <row r="738" spans="1:8" ht="15" customHeight="1" x14ac:dyDescent="0.25">
      <c r="A738" s="27"/>
      <c r="B738" s="27"/>
      <c r="C738" s="27"/>
      <c r="D738" s="27"/>
      <c r="E738" s="15"/>
      <c r="F738" s="26"/>
      <c r="G738" s="15"/>
      <c r="H738" s="26"/>
    </row>
    <row r="739" spans="1:8" ht="15" customHeight="1" x14ac:dyDescent="0.25">
      <c r="A739" s="27"/>
      <c r="B739" s="27"/>
      <c r="C739" s="27"/>
      <c r="D739" s="27"/>
      <c r="E739" s="15"/>
      <c r="F739" s="26"/>
      <c r="G739" s="15"/>
      <c r="H739" s="26"/>
    </row>
    <row r="740" spans="1:8" ht="15" customHeight="1" x14ac:dyDescent="0.25">
      <c r="A740" s="27"/>
      <c r="B740" s="27"/>
      <c r="C740" s="27"/>
      <c r="D740" s="27"/>
      <c r="E740" s="15"/>
      <c r="F740" s="26"/>
      <c r="G740" s="15"/>
      <c r="H740" s="26"/>
    </row>
    <row r="741" spans="1:8" ht="15" customHeight="1" x14ac:dyDescent="0.25">
      <c r="A741" s="27"/>
      <c r="B741" s="27"/>
      <c r="C741" s="27"/>
      <c r="D741" s="27"/>
      <c r="E741" s="15"/>
      <c r="F741" s="26"/>
      <c r="G741" s="15"/>
      <c r="H741" s="26"/>
    </row>
    <row r="742" spans="1:8" ht="15" customHeight="1" x14ac:dyDescent="0.25">
      <c r="A742" s="27"/>
      <c r="B742" s="27"/>
      <c r="C742" s="27"/>
      <c r="D742" s="27"/>
      <c r="E742" s="15"/>
      <c r="F742" s="26"/>
      <c r="G742" s="15"/>
      <c r="H742" s="26"/>
    </row>
    <row r="743" spans="1:8" ht="15" customHeight="1" x14ac:dyDescent="0.25">
      <c r="A743" s="27"/>
      <c r="B743" s="27"/>
      <c r="C743" s="27"/>
      <c r="D743" s="27"/>
      <c r="E743" s="15"/>
      <c r="F743" s="26"/>
      <c r="G743" s="15"/>
      <c r="H743" s="26"/>
    </row>
    <row r="744" spans="1:8" ht="15" customHeight="1" x14ac:dyDescent="0.25">
      <c r="A744" s="27"/>
      <c r="B744" s="27"/>
      <c r="C744" s="27"/>
      <c r="D744" s="27"/>
      <c r="E744" s="15"/>
      <c r="F744" s="26"/>
      <c r="G744" s="15"/>
      <c r="H744" s="26"/>
    </row>
    <row r="745" spans="1:8" ht="15" customHeight="1" x14ac:dyDescent="0.25">
      <c r="A745" s="27"/>
      <c r="B745" s="27"/>
      <c r="C745" s="27"/>
      <c r="D745" s="27"/>
      <c r="E745" s="15"/>
      <c r="F745" s="26"/>
      <c r="G745" s="15"/>
      <c r="H745" s="26"/>
    </row>
    <row r="746" spans="1:8" ht="15" customHeight="1" x14ac:dyDescent="0.25">
      <c r="A746" s="27"/>
      <c r="B746" s="27"/>
      <c r="C746" s="27"/>
      <c r="D746" s="27"/>
      <c r="E746" s="15"/>
      <c r="F746" s="26"/>
      <c r="G746" s="15"/>
      <c r="H746" s="26"/>
    </row>
    <row r="747" spans="1:8" ht="15" customHeight="1" x14ac:dyDescent="0.25">
      <c r="A747" s="27"/>
      <c r="B747" s="27"/>
      <c r="C747" s="27"/>
      <c r="D747" s="27"/>
      <c r="E747" s="15"/>
      <c r="F747" s="26"/>
      <c r="G747" s="15"/>
      <c r="H747" s="26"/>
    </row>
    <row r="748" spans="1:8" ht="15" customHeight="1" x14ac:dyDescent="0.25">
      <c r="A748" s="27"/>
      <c r="B748" s="27"/>
      <c r="C748" s="27"/>
      <c r="D748" s="27"/>
      <c r="E748" s="15"/>
      <c r="F748" s="26"/>
      <c r="G748" s="15"/>
      <c r="H748" s="26"/>
    </row>
    <row r="749" spans="1:8" ht="15" customHeight="1" x14ac:dyDescent="0.25">
      <c r="A749" s="27"/>
      <c r="B749" s="27"/>
      <c r="C749" s="27"/>
      <c r="D749" s="27"/>
      <c r="E749" s="15"/>
      <c r="F749" s="26"/>
      <c r="G749" s="15"/>
      <c r="H749" s="26"/>
    </row>
    <row r="750" spans="1:8" ht="15" customHeight="1" x14ac:dyDescent="0.25">
      <c r="A750" s="27"/>
      <c r="B750" s="27"/>
      <c r="C750" s="27"/>
      <c r="D750" s="27"/>
      <c r="E750" s="15"/>
      <c r="F750" s="26"/>
      <c r="G750" s="15"/>
      <c r="H750" s="26"/>
    </row>
    <row r="751" spans="1:8" ht="15" customHeight="1" x14ac:dyDescent="0.25">
      <c r="A751" s="27"/>
      <c r="B751" s="27"/>
      <c r="C751" s="27"/>
      <c r="D751" s="27"/>
      <c r="E751" s="15"/>
      <c r="F751" s="26"/>
      <c r="G751" s="15"/>
      <c r="H751" s="26"/>
    </row>
    <row r="752" spans="1:8" ht="15" customHeight="1" x14ac:dyDescent="0.25">
      <c r="A752" s="27"/>
      <c r="B752" s="27"/>
      <c r="C752" s="27"/>
      <c r="D752" s="27"/>
      <c r="E752" s="15"/>
      <c r="F752" s="26"/>
      <c r="G752" s="15"/>
      <c r="H752" s="26"/>
    </row>
    <row r="753" spans="1:8" ht="15" customHeight="1" x14ac:dyDescent="0.25">
      <c r="A753" s="27"/>
      <c r="B753" s="27"/>
      <c r="C753" s="27"/>
      <c r="D753" s="27"/>
      <c r="E753" s="15"/>
      <c r="F753" s="26"/>
      <c r="G753" s="15"/>
      <c r="H753" s="26"/>
    </row>
    <row r="754" spans="1:8" ht="15" customHeight="1" x14ac:dyDescent="0.25">
      <c r="A754" s="27"/>
      <c r="B754" s="27"/>
      <c r="C754" s="27"/>
      <c r="D754" s="27"/>
      <c r="E754" s="15"/>
      <c r="F754" s="26"/>
      <c r="G754" s="15"/>
      <c r="H754" s="26"/>
    </row>
    <row r="755" spans="1:8" ht="15" customHeight="1" x14ac:dyDescent="0.25">
      <c r="A755" s="27"/>
      <c r="B755" s="27"/>
      <c r="C755" s="27"/>
      <c r="D755" s="27"/>
      <c r="E755" s="15"/>
      <c r="F755" s="26"/>
      <c r="G755" s="15"/>
      <c r="H755" s="26"/>
    </row>
    <row r="756" spans="1:8" ht="15" customHeight="1" x14ac:dyDescent="0.25">
      <c r="A756" s="27"/>
      <c r="B756" s="27"/>
      <c r="C756" s="27"/>
      <c r="D756" s="27"/>
      <c r="E756" s="15"/>
      <c r="F756" s="26"/>
      <c r="G756" s="15"/>
      <c r="H756" s="26"/>
    </row>
    <row r="757" spans="1:8" ht="15" customHeight="1" x14ac:dyDescent="0.25">
      <c r="A757" s="27"/>
      <c r="B757" s="27"/>
      <c r="C757" s="27"/>
      <c r="D757" s="27"/>
      <c r="E757" s="15"/>
      <c r="F757" s="26"/>
      <c r="G757" s="15"/>
      <c r="H757" s="26"/>
    </row>
    <row r="758" spans="1:8" ht="15" customHeight="1" x14ac:dyDescent="0.25">
      <c r="A758" s="27"/>
      <c r="B758" s="27"/>
      <c r="C758" s="27"/>
      <c r="D758" s="27"/>
      <c r="E758" s="15"/>
      <c r="F758" s="26"/>
      <c r="G758" s="15"/>
      <c r="H758" s="26"/>
    </row>
    <row r="759" spans="1:8" ht="15" customHeight="1" x14ac:dyDescent="0.25">
      <c r="A759" s="27"/>
      <c r="B759" s="27"/>
      <c r="C759" s="27"/>
      <c r="D759" s="27"/>
      <c r="E759" s="15"/>
      <c r="F759" s="26"/>
      <c r="G759" s="15"/>
      <c r="H759" s="26"/>
    </row>
    <row r="760" spans="1:8" ht="15" customHeight="1" x14ac:dyDescent="0.25">
      <c r="A760" s="27"/>
      <c r="B760" s="27"/>
      <c r="C760" s="27"/>
      <c r="D760" s="27"/>
      <c r="E760" s="15"/>
      <c r="F760" s="26"/>
      <c r="G760" s="15"/>
      <c r="H760" s="26"/>
    </row>
    <row r="761" spans="1:8" ht="15" customHeight="1" x14ac:dyDescent="0.25">
      <c r="A761" s="27"/>
      <c r="B761" s="27"/>
      <c r="C761" s="27"/>
      <c r="D761" s="27"/>
      <c r="E761" s="15"/>
      <c r="F761" s="26"/>
      <c r="G761" s="15"/>
      <c r="H761" s="26"/>
    </row>
    <row r="762" spans="1:8" ht="15" customHeight="1" x14ac:dyDescent="0.25">
      <c r="A762" s="27"/>
      <c r="B762" s="27"/>
      <c r="C762" s="27"/>
      <c r="D762" s="27"/>
      <c r="E762" s="15"/>
      <c r="F762" s="26"/>
      <c r="G762" s="15"/>
      <c r="H762" s="26"/>
    </row>
    <row r="763" spans="1:8" ht="15" customHeight="1" x14ac:dyDescent="0.25">
      <c r="A763" s="27"/>
      <c r="B763" s="27"/>
      <c r="C763" s="27"/>
      <c r="D763" s="27"/>
      <c r="E763" s="15"/>
      <c r="F763" s="26"/>
      <c r="G763" s="15"/>
      <c r="H763" s="26"/>
    </row>
    <row r="764" spans="1:8" ht="15" customHeight="1" x14ac:dyDescent="0.25">
      <c r="A764" s="27"/>
      <c r="B764" s="27"/>
      <c r="C764" s="27"/>
      <c r="D764" s="27"/>
      <c r="E764" s="15"/>
      <c r="F764" s="26"/>
      <c r="G764" s="15"/>
      <c r="H764" s="26"/>
    </row>
    <row r="765" spans="1:8" ht="15" customHeight="1" x14ac:dyDescent="0.25">
      <c r="A765" s="27"/>
      <c r="B765" s="27"/>
      <c r="C765" s="27"/>
      <c r="D765" s="27"/>
      <c r="E765" s="15"/>
      <c r="F765" s="26"/>
      <c r="G765" s="15"/>
      <c r="H765" s="26"/>
    </row>
    <row r="766" spans="1:8" ht="15" customHeight="1" x14ac:dyDescent="0.25">
      <c r="A766" s="27"/>
      <c r="B766" s="27"/>
      <c r="C766" s="27"/>
      <c r="D766" s="27"/>
      <c r="E766" s="15"/>
      <c r="F766" s="26"/>
      <c r="G766" s="15"/>
      <c r="H766" s="26"/>
    </row>
    <row r="767" spans="1:8" ht="15" customHeight="1" x14ac:dyDescent="0.25">
      <c r="A767" s="27"/>
      <c r="B767" s="27"/>
      <c r="C767" s="27"/>
      <c r="D767" s="27"/>
      <c r="E767" s="15"/>
      <c r="F767" s="26"/>
      <c r="G767" s="15"/>
      <c r="H767" s="26"/>
    </row>
    <row r="768" spans="1:8" ht="15" customHeight="1" x14ac:dyDescent="0.25">
      <c r="A768" s="27"/>
      <c r="B768" s="27"/>
      <c r="C768" s="27"/>
      <c r="D768" s="27"/>
      <c r="E768" s="15"/>
      <c r="F768" s="26"/>
      <c r="G768" s="15"/>
      <c r="H768" s="26"/>
    </row>
    <row r="769" spans="1:8" ht="15" customHeight="1" x14ac:dyDescent="0.25">
      <c r="A769" s="27"/>
      <c r="B769" s="27"/>
      <c r="C769" s="27"/>
      <c r="D769" s="27"/>
      <c r="E769" s="15"/>
      <c r="F769" s="26"/>
      <c r="G769" s="15"/>
      <c r="H769" s="26"/>
    </row>
    <row r="770" spans="1:8" ht="15" customHeight="1" x14ac:dyDescent="0.25">
      <c r="A770" s="27"/>
      <c r="B770" s="27"/>
      <c r="C770" s="27"/>
      <c r="D770" s="27"/>
      <c r="E770" s="15"/>
      <c r="F770" s="26"/>
      <c r="G770" s="15"/>
      <c r="H770" s="26"/>
    </row>
    <row r="771" spans="1:8" ht="15" customHeight="1" x14ac:dyDescent="0.25">
      <c r="A771" s="27"/>
      <c r="B771" s="27"/>
      <c r="C771" s="27"/>
      <c r="D771" s="27"/>
      <c r="E771" s="15"/>
      <c r="F771" s="26"/>
      <c r="G771" s="15"/>
      <c r="H771" s="26"/>
    </row>
    <row r="772" spans="1:8" ht="15" customHeight="1" x14ac:dyDescent="0.25">
      <c r="A772" s="27"/>
      <c r="B772" s="27"/>
      <c r="C772" s="27"/>
      <c r="D772" s="27"/>
      <c r="E772" s="15"/>
      <c r="F772" s="26"/>
      <c r="G772" s="15"/>
      <c r="H772" s="26"/>
    </row>
    <row r="773" spans="1:8" ht="15" customHeight="1" x14ac:dyDescent="0.25">
      <c r="A773" s="27"/>
      <c r="B773" s="27"/>
      <c r="C773" s="27"/>
      <c r="D773" s="27"/>
      <c r="E773" s="15"/>
      <c r="F773" s="26"/>
      <c r="G773" s="15"/>
      <c r="H773" s="26"/>
    </row>
    <row r="774" spans="1:8" ht="15" customHeight="1" x14ac:dyDescent="0.25">
      <c r="A774" s="27"/>
      <c r="B774" s="27"/>
      <c r="C774" s="27"/>
      <c r="D774" s="27"/>
      <c r="E774" s="15"/>
      <c r="F774" s="26"/>
      <c r="G774" s="15"/>
      <c r="H774" s="26"/>
    </row>
    <row r="775" spans="1:8" ht="15" customHeight="1" x14ac:dyDescent="0.25">
      <c r="A775" s="27"/>
      <c r="B775" s="27"/>
      <c r="C775" s="27"/>
      <c r="D775" s="27"/>
      <c r="E775" s="15"/>
      <c r="F775" s="26"/>
      <c r="G775" s="15"/>
      <c r="H775" s="26"/>
    </row>
    <row r="776" spans="1:8" ht="15" customHeight="1" x14ac:dyDescent="0.25">
      <c r="A776" s="27"/>
      <c r="B776" s="27"/>
      <c r="C776" s="27"/>
      <c r="D776" s="27"/>
      <c r="E776" s="15"/>
      <c r="F776" s="26"/>
      <c r="G776" s="15"/>
      <c r="H776" s="26"/>
    </row>
    <row r="777" spans="1:8" ht="15" customHeight="1" x14ac:dyDescent="0.25">
      <c r="A777" s="27"/>
      <c r="B777" s="27"/>
      <c r="C777" s="27"/>
      <c r="D777" s="27"/>
      <c r="E777" s="15"/>
      <c r="F777" s="26"/>
      <c r="G777" s="15"/>
      <c r="H777" s="26"/>
    </row>
    <row r="778" spans="1:8" ht="15" customHeight="1" x14ac:dyDescent="0.25">
      <c r="A778" s="27"/>
      <c r="B778" s="27"/>
      <c r="C778" s="27"/>
      <c r="D778" s="27"/>
      <c r="E778" s="15"/>
      <c r="F778" s="26"/>
      <c r="G778" s="15"/>
      <c r="H778" s="26"/>
    </row>
    <row r="779" spans="1:8" ht="15" customHeight="1" x14ac:dyDescent="0.25">
      <c r="A779" s="27"/>
      <c r="B779" s="27"/>
      <c r="C779" s="27"/>
      <c r="D779" s="27"/>
      <c r="E779" s="15"/>
      <c r="F779" s="26"/>
      <c r="G779" s="15"/>
      <c r="H779" s="26"/>
    </row>
    <row r="780" spans="1:8" ht="15" customHeight="1" x14ac:dyDescent="0.25">
      <c r="A780" s="27"/>
      <c r="B780" s="27"/>
      <c r="C780" s="27"/>
      <c r="D780" s="27"/>
      <c r="E780" s="15"/>
      <c r="F780" s="26"/>
      <c r="G780" s="15"/>
      <c r="H780" s="26"/>
    </row>
    <row r="781" spans="1:8" ht="15" customHeight="1" x14ac:dyDescent="0.25">
      <c r="A781" s="27"/>
      <c r="B781" s="27"/>
      <c r="C781" s="27"/>
      <c r="D781" s="27"/>
      <c r="E781" s="15"/>
      <c r="F781" s="26"/>
      <c r="G781" s="15"/>
      <c r="H781" s="26"/>
    </row>
    <row r="782" spans="1:8" ht="15" customHeight="1" x14ac:dyDescent="0.25">
      <c r="A782" s="27"/>
      <c r="B782" s="27"/>
      <c r="C782" s="27"/>
      <c r="D782" s="27"/>
      <c r="E782" s="15"/>
      <c r="F782" s="26"/>
      <c r="G782" s="15"/>
      <c r="H782" s="26"/>
    </row>
    <row r="783" spans="1:8" ht="15" customHeight="1" x14ac:dyDescent="0.25">
      <c r="A783" s="27"/>
      <c r="B783" s="27"/>
      <c r="C783" s="27"/>
      <c r="D783" s="27"/>
      <c r="E783" s="15"/>
      <c r="F783" s="26"/>
      <c r="G783" s="15"/>
      <c r="H783" s="26"/>
    </row>
    <row r="784" spans="1:8" ht="15" customHeight="1" x14ac:dyDescent="0.25">
      <c r="A784" s="27"/>
      <c r="B784" s="27"/>
      <c r="C784" s="27"/>
      <c r="D784" s="27"/>
      <c r="E784" s="15"/>
      <c r="F784" s="26"/>
      <c r="G784" s="15"/>
      <c r="H784" s="26"/>
    </row>
    <row r="785" spans="1:8" ht="15" customHeight="1" x14ac:dyDescent="0.25">
      <c r="A785" s="27"/>
      <c r="B785" s="27"/>
      <c r="C785" s="27"/>
      <c r="D785" s="27"/>
      <c r="E785" s="15"/>
      <c r="F785" s="26"/>
      <c r="G785" s="15"/>
      <c r="H785" s="26"/>
    </row>
    <row r="786" spans="1:8" ht="15" customHeight="1" x14ac:dyDescent="0.25">
      <c r="A786" s="27"/>
      <c r="B786" s="27"/>
      <c r="C786" s="27"/>
      <c r="D786" s="27"/>
      <c r="E786" s="15"/>
      <c r="F786" s="26"/>
      <c r="G786" s="15"/>
      <c r="H786" s="26"/>
    </row>
    <row r="787" spans="1:8" ht="15" customHeight="1" x14ac:dyDescent="0.25">
      <c r="A787" s="27"/>
      <c r="B787" s="27"/>
      <c r="C787" s="27"/>
      <c r="D787" s="27"/>
      <c r="E787" s="15"/>
      <c r="F787" s="26"/>
      <c r="G787" s="15"/>
      <c r="H787" s="26"/>
    </row>
    <row r="788" spans="1:8" ht="15" customHeight="1" x14ac:dyDescent="0.25">
      <c r="A788" s="27"/>
      <c r="B788" s="27"/>
      <c r="C788" s="27"/>
      <c r="D788" s="27"/>
      <c r="E788" s="15"/>
      <c r="F788" s="26"/>
      <c r="G788" s="15"/>
      <c r="H788" s="26"/>
    </row>
    <row r="789" spans="1:8" ht="15" customHeight="1" x14ac:dyDescent="0.25">
      <c r="A789" s="27"/>
      <c r="B789" s="27"/>
      <c r="C789" s="27"/>
      <c r="D789" s="27"/>
      <c r="E789" s="15"/>
      <c r="F789" s="26"/>
      <c r="G789" s="15"/>
      <c r="H789" s="26"/>
    </row>
    <row r="790" spans="1:8" ht="15" customHeight="1" x14ac:dyDescent="0.25">
      <c r="A790" s="27"/>
      <c r="B790" s="27"/>
      <c r="C790" s="27"/>
      <c r="D790" s="27"/>
      <c r="E790" s="15"/>
      <c r="F790" s="26"/>
      <c r="G790" s="15"/>
      <c r="H790" s="26"/>
    </row>
    <row r="791" spans="1:8" ht="15" customHeight="1" x14ac:dyDescent="0.25">
      <c r="A791" s="27"/>
      <c r="B791" s="27"/>
      <c r="C791" s="27"/>
      <c r="D791" s="27"/>
      <c r="E791" s="15"/>
      <c r="F791" s="26"/>
      <c r="G791" s="15"/>
      <c r="H791" s="26"/>
    </row>
    <row r="792" spans="1:8" ht="15" customHeight="1" x14ac:dyDescent="0.25">
      <c r="A792" s="27"/>
      <c r="B792" s="27"/>
      <c r="C792" s="27"/>
      <c r="D792" s="27"/>
      <c r="E792" s="15"/>
      <c r="F792" s="26"/>
      <c r="G792" s="15"/>
      <c r="H792" s="26"/>
    </row>
    <row r="793" spans="1:8" ht="15" customHeight="1" x14ac:dyDescent="0.25">
      <c r="A793" s="27"/>
      <c r="B793" s="27"/>
      <c r="C793" s="27"/>
      <c r="D793" s="27"/>
      <c r="E793" s="15"/>
      <c r="F793" s="26"/>
      <c r="G793" s="15"/>
      <c r="H793" s="26"/>
    </row>
    <row r="794" spans="1:8" ht="15" customHeight="1" x14ac:dyDescent="0.25">
      <c r="A794" s="27"/>
      <c r="B794" s="27"/>
      <c r="C794" s="27"/>
      <c r="D794" s="27"/>
      <c r="E794" s="15"/>
      <c r="F794" s="26"/>
      <c r="G794" s="15"/>
      <c r="H794" s="26"/>
    </row>
    <row r="795" spans="1:8" ht="15" customHeight="1" x14ac:dyDescent="0.25">
      <c r="A795" s="27"/>
      <c r="B795" s="27"/>
      <c r="C795" s="27"/>
      <c r="D795" s="27"/>
      <c r="E795" s="15"/>
      <c r="F795" s="26"/>
      <c r="G795" s="15"/>
      <c r="H795" s="26"/>
    </row>
    <row r="796" spans="1:8" ht="15" customHeight="1" x14ac:dyDescent="0.25">
      <c r="A796" s="27"/>
      <c r="B796" s="27"/>
      <c r="C796" s="27"/>
      <c r="D796" s="27"/>
      <c r="E796" s="15"/>
      <c r="F796" s="26"/>
      <c r="G796" s="15"/>
      <c r="H796" s="26"/>
    </row>
    <row r="797" spans="1:8" ht="15" customHeight="1" x14ac:dyDescent="0.25">
      <c r="A797" s="27"/>
      <c r="B797" s="27"/>
      <c r="C797" s="27"/>
      <c r="D797" s="27"/>
      <c r="E797" s="15"/>
      <c r="F797" s="26"/>
      <c r="G797" s="15"/>
      <c r="H797" s="26"/>
    </row>
    <row r="798" spans="1:8" ht="15" customHeight="1" x14ac:dyDescent="0.25">
      <c r="A798" s="27"/>
      <c r="B798" s="27"/>
      <c r="C798" s="27"/>
      <c r="D798" s="27"/>
      <c r="E798" s="15"/>
      <c r="F798" s="26"/>
      <c r="G798" s="15"/>
      <c r="H798" s="26"/>
    </row>
    <row r="799" spans="1:8" ht="15" customHeight="1" x14ac:dyDescent="0.25">
      <c r="A799" s="27"/>
      <c r="B799" s="27"/>
      <c r="C799" s="27"/>
      <c r="D799" s="27"/>
      <c r="E799" s="15"/>
      <c r="F799" s="26"/>
      <c r="G799" s="15"/>
      <c r="H799" s="26"/>
    </row>
    <row r="800" spans="1:8" ht="15" customHeight="1" x14ac:dyDescent="0.25">
      <c r="A800" s="27"/>
      <c r="B800" s="27"/>
      <c r="C800" s="27"/>
      <c r="D800" s="27"/>
      <c r="E800" s="15"/>
      <c r="F800" s="26"/>
      <c r="G800" s="15"/>
      <c r="H800" s="26"/>
    </row>
    <row r="801" spans="1:8" ht="15" customHeight="1" x14ac:dyDescent="0.25">
      <c r="A801" s="27"/>
      <c r="B801" s="27"/>
      <c r="C801" s="27"/>
      <c r="D801" s="27"/>
      <c r="E801" s="15"/>
      <c r="F801" s="26"/>
      <c r="G801" s="15"/>
      <c r="H801" s="26"/>
    </row>
    <row r="802" spans="1:8" ht="15" customHeight="1" x14ac:dyDescent="0.25">
      <c r="A802" s="27"/>
      <c r="B802" s="27"/>
      <c r="C802" s="27"/>
      <c r="D802" s="27"/>
      <c r="E802" s="15"/>
      <c r="F802" s="26"/>
      <c r="G802" s="15"/>
      <c r="H802" s="26"/>
    </row>
    <row r="803" spans="1:8" ht="15" customHeight="1" x14ac:dyDescent="0.25">
      <c r="A803" s="27"/>
      <c r="B803" s="27"/>
      <c r="C803" s="27"/>
      <c r="D803" s="27"/>
      <c r="E803" s="15"/>
      <c r="F803" s="26"/>
      <c r="G803" s="15"/>
      <c r="H803" s="26"/>
    </row>
    <row r="804" spans="1:8" ht="15" customHeight="1" x14ac:dyDescent="0.25">
      <c r="A804" s="27"/>
      <c r="B804" s="27"/>
      <c r="C804" s="27"/>
      <c r="D804" s="27"/>
      <c r="E804" s="15"/>
      <c r="F804" s="26"/>
      <c r="G804" s="15"/>
      <c r="H804" s="26"/>
    </row>
    <row r="805" spans="1:8" ht="15" customHeight="1" x14ac:dyDescent="0.25">
      <c r="A805" s="27"/>
      <c r="B805" s="27"/>
      <c r="C805" s="27"/>
      <c r="D805" s="27"/>
      <c r="E805" s="15"/>
      <c r="F805" s="26"/>
      <c r="G805" s="15"/>
      <c r="H805" s="26"/>
    </row>
    <row r="806" spans="1:8" ht="15" customHeight="1" x14ac:dyDescent="0.25">
      <c r="A806" s="27"/>
      <c r="B806" s="27"/>
      <c r="C806" s="27"/>
      <c r="D806" s="27"/>
      <c r="E806" s="15"/>
      <c r="F806" s="26"/>
      <c r="G806" s="15"/>
      <c r="H806" s="26"/>
    </row>
    <row r="807" spans="1:8" ht="15" customHeight="1" x14ac:dyDescent="0.25">
      <c r="A807" s="27"/>
      <c r="B807" s="27"/>
      <c r="C807" s="27"/>
      <c r="D807" s="27"/>
      <c r="E807" s="15"/>
      <c r="F807" s="26"/>
      <c r="G807" s="15"/>
      <c r="H807" s="26"/>
    </row>
    <row r="808" spans="1:8" ht="15" customHeight="1" x14ac:dyDescent="0.25">
      <c r="A808" s="27"/>
      <c r="B808" s="27"/>
      <c r="C808" s="27"/>
      <c r="D808" s="27"/>
      <c r="E808" s="15"/>
      <c r="F808" s="26"/>
      <c r="G808" s="15"/>
      <c r="H808" s="26"/>
    </row>
    <row r="809" spans="1:8" ht="15" customHeight="1" x14ac:dyDescent="0.25">
      <c r="A809" s="27"/>
      <c r="B809" s="27"/>
      <c r="C809" s="27"/>
      <c r="D809" s="27"/>
      <c r="E809" s="15"/>
      <c r="F809" s="26"/>
      <c r="G809" s="15"/>
      <c r="H809" s="26"/>
    </row>
    <row r="810" spans="1:8" ht="15" customHeight="1" x14ac:dyDescent="0.25">
      <c r="A810" s="27"/>
      <c r="B810" s="27"/>
      <c r="C810" s="27"/>
      <c r="D810" s="27"/>
      <c r="E810" s="15"/>
      <c r="F810" s="26"/>
      <c r="G810" s="15"/>
      <c r="H810" s="26"/>
    </row>
    <row r="811" spans="1:8" ht="15" customHeight="1" x14ac:dyDescent="0.25">
      <c r="A811" s="27"/>
      <c r="B811" s="27"/>
      <c r="C811" s="27"/>
      <c r="D811" s="27"/>
      <c r="E811" s="15"/>
      <c r="F811" s="26"/>
      <c r="G811" s="15"/>
      <c r="H811" s="26"/>
    </row>
    <row r="812" spans="1:8" ht="15" customHeight="1" x14ac:dyDescent="0.25">
      <c r="A812" s="27"/>
      <c r="B812" s="27"/>
      <c r="C812" s="27"/>
      <c r="D812" s="27"/>
      <c r="E812" s="15"/>
      <c r="F812" s="26"/>
      <c r="G812" s="15"/>
      <c r="H812" s="26"/>
    </row>
    <row r="813" spans="1:8" ht="15" customHeight="1" x14ac:dyDescent="0.25">
      <c r="A813" s="27"/>
      <c r="B813" s="27"/>
      <c r="C813" s="27"/>
      <c r="D813" s="27"/>
      <c r="E813" s="15"/>
      <c r="F813" s="26"/>
      <c r="G813" s="15"/>
      <c r="H813" s="26"/>
    </row>
    <row r="814" spans="1:8" ht="15" customHeight="1" x14ac:dyDescent="0.25">
      <c r="A814" s="27"/>
      <c r="B814" s="27"/>
      <c r="C814" s="27"/>
      <c r="D814" s="27"/>
      <c r="E814" s="15"/>
      <c r="F814" s="26"/>
      <c r="G814" s="15"/>
      <c r="H814" s="26"/>
    </row>
    <row r="815" spans="1:8" ht="15" customHeight="1" x14ac:dyDescent="0.25">
      <c r="A815" s="27"/>
      <c r="B815" s="27"/>
      <c r="C815" s="27"/>
      <c r="D815" s="27"/>
      <c r="E815" s="15"/>
      <c r="F815" s="26"/>
      <c r="G815" s="15"/>
      <c r="H815" s="26"/>
    </row>
    <row r="816" spans="1:8" ht="15" customHeight="1" x14ac:dyDescent="0.25">
      <c r="A816" s="27"/>
      <c r="B816" s="27"/>
      <c r="C816" s="27"/>
      <c r="D816" s="27"/>
      <c r="E816" s="15"/>
      <c r="F816" s="26"/>
      <c r="G816" s="15"/>
      <c r="H816" s="26"/>
    </row>
    <row r="817" spans="1:8" ht="15" customHeight="1" x14ac:dyDescent="0.25">
      <c r="A817" s="27"/>
      <c r="B817" s="27"/>
      <c r="C817" s="27"/>
      <c r="D817" s="27"/>
      <c r="E817" s="15"/>
      <c r="F817" s="26"/>
      <c r="G817" s="15"/>
      <c r="H817" s="26"/>
    </row>
    <row r="818" spans="1:8" ht="15" customHeight="1" x14ac:dyDescent="0.25">
      <c r="A818" s="27"/>
      <c r="B818" s="27"/>
      <c r="C818" s="27"/>
      <c r="D818" s="27"/>
      <c r="E818" s="15"/>
      <c r="F818" s="26"/>
      <c r="G818" s="15"/>
      <c r="H818" s="26"/>
    </row>
    <row r="819" spans="1:8" ht="15" customHeight="1" x14ac:dyDescent="0.25">
      <c r="A819" s="27"/>
      <c r="B819" s="27"/>
      <c r="C819" s="27"/>
      <c r="D819" s="27"/>
      <c r="E819" s="15"/>
      <c r="F819" s="26"/>
      <c r="G819" s="15"/>
      <c r="H819" s="26"/>
    </row>
    <row r="820" spans="1:8" ht="15" customHeight="1" x14ac:dyDescent="0.25">
      <c r="A820" s="27"/>
      <c r="B820" s="27"/>
      <c r="C820" s="27"/>
      <c r="D820" s="27"/>
      <c r="E820" s="15"/>
      <c r="F820" s="26"/>
      <c r="G820" s="15"/>
      <c r="H820" s="26"/>
    </row>
    <row r="821" spans="1:8" ht="15" customHeight="1" x14ac:dyDescent="0.25">
      <c r="A821" s="27"/>
      <c r="B821" s="27"/>
      <c r="C821" s="27"/>
      <c r="D821" s="27"/>
      <c r="E821" s="15"/>
      <c r="F821" s="26"/>
      <c r="G821" s="15"/>
      <c r="H821" s="26"/>
    </row>
    <row r="822" spans="1:8" ht="15" customHeight="1" x14ac:dyDescent="0.25">
      <c r="A822" s="27"/>
      <c r="B822" s="27"/>
      <c r="C822" s="27"/>
      <c r="D822" s="27"/>
      <c r="E822" s="15"/>
      <c r="F822" s="26"/>
      <c r="G822" s="15"/>
      <c r="H822" s="26"/>
    </row>
    <row r="823" spans="1:8" ht="15" customHeight="1" x14ac:dyDescent="0.25">
      <c r="A823" s="27"/>
      <c r="B823" s="27"/>
      <c r="C823" s="27"/>
      <c r="D823" s="27"/>
      <c r="E823" s="15"/>
      <c r="F823" s="26"/>
      <c r="G823" s="15"/>
      <c r="H823" s="26"/>
    </row>
    <row r="824" spans="1:8" ht="15" customHeight="1" x14ac:dyDescent="0.25">
      <c r="A824" s="27"/>
      <c r="B824" s="27"/>
      <c r="C824" s="27"/>
      <c r="D824" s="27"/>
      <c r="E824" s="15"/>
      <c r="F824" s="26"/>
      <c r="G824" s="15"/>
      <c r="H824" s="26"/>
    </row>
    <row r="825" spans="1:8" ht="15" customHeight="1" x14ac:dyDescent="0.25">
      <c r="A825" s="27"/>
      <c r="B825" s="27"/>
      <c r="C825" s="27"/>
      <c r="D825" s="27"/>
      <c r="E825" s="15"/>
      <c r="F825" s="26"/>
      <c r="G825" s="15"/>
      <c r="H825" s="26"/>
    </row>
    <row r="826" spans="1:8" ht="15" customHeight="1" x14ac:dyDescent="0.25">
      <c r="A826" s="27"/>
      <c r="B826" s="27"/>
      <c r="C826" s="27"/>
      <c r="D826" s="27"/>
      <c r="E826" s="15"/>
      <c r="F826" s="26"/>
      <c r="G826" s="15"/>
      <c r="H826" s="26"/>
    </row>
    <row r="827" spans="1:8" ht="15" customHeight="1" x14ac:dyDescent="0.25">
      <c r="A827" s="27"/>
      <c r="B827" s="27"/>
      <c r="C827" s="27"/>
      <c r="D827" s="27"/>
      <c r="E827" s="15"/>
      <c r="F827" s="26"/>
      <c r="G827" s="15"/>
      <c r="H827" s="26"/>
    </row>
    <row r="828" spans="1:8" ht="15" customHeight="1" x14ac:dyDescent="0.25">
      <c r="A828" s="27"/>
      <c r="B828" s="27"/>
      <c r="C828" s="27"/>
      <c r="D828" s="27"/>
      <c r="E828" s="15"/>
      <c r="F828" s="26"/>
      <c r="G828" s="15"/>
      <c r="H828" s="26"/>
    </row>
    <row r="829" spans="1:8" ht="15" customHeight="1" x14ac:dyDescent="0.25">
      <c r="A829" s="27"/>
      <c r="B829" s="27"/>
      <c r="C829" s="27"/>
      <c r="D829" s="27"/>
      <c r="E829" s="15"/>
      <c r="F829" s="26"/>
      <c r="G829" s="15"/>
      <c r="H829" s="26"/>
    </row>
    <row r="830" spans="1:8" ht="15" customHeight="1" x14ac:dyDescent="0.25">
      <c r="A830" s="27"/>
      <c r="B830" s="27"/>
      <c r="C830" s="27"/>
      <c r="D830" s="27"/>
      <c r="E830" s="15"/>
      <c r="F830" s="26"/>
      <c r="G830" s="15"/>
      <c r="H830" s="26"/>
    </row>
    <row r="831" spans="1:8" ht="15" customHeight="1" x14ac:dyDescent="0.25">
      <c r="A831" s="27"/>
      <c r="B831" s="27"/>
      <c r="C831" s="27"/>
      <c r="D831" s="27"/>
      <c r="E831" s="15"/>
      <c r="F831" s="26"/>
      <c r="G831" s="15"/>
      <c r="H831" s="26"/>
    </row>
    <row r="832" spans="1:8" ht="15" customHeight="1" x14ac:dyDescent="0.25">
      <c r="A832" s="27"/>
      <c r="B832" s="27"/>
      <c r="C832" s="27"/>
      <c r="D832" s="27"/>
      <c r="E832" s="15"/>
      <c r="F832" s="26"/>
      <c r="G832" s="15"/>
      <c r="H832" s="26"/>
    </row>
    <row r="833" spans="1:8" ht="15" customHeight="1" x14ac:dyDescent="0.25">
      <c r="A833" s="27"/>
      <c r="B833" s="27"/>
      <c r="C833" s="27"/>
      <c r="D833" s="27"/>
      <c r="E833" s="15"/>
      <c r="F833" s="26"/>
      <c r="G833" s="15"/>
      <c r="H833" s="26"/>
    </row>
    <row r="834" spans="1:8" ht="15" customHeight="1" x14ac:dyDescent="0.25">
      <c r="A834" s="27"/>
      <c r="B834" s="27"/>
      <c r="C834" s="27"/>
      <c r="D834" s="27"/>
      <c r="E834" s="15"/>
      <c r="F834" s="26"/>
      <c r="G834" s="15"/>
      <c r="H834" s="26"/>
    </row>
    <row r="835" spans="1:8" ht="15" customHeight="1" x14ac:dyDescent="0.25">
      <c r="A835" s="27"/>
      <c r="B835" s="27"/>
      <c r="C835" s="27"/>
      <c r="D835" s="27"/>
      <c r="E835" s="15"/>
      <c r="F835" s="26"/>
      <c r="G835" s="15"/>
      <c r="H835" s="26"/>
    </row>
    <row r="836" spans="1:8" ht="15" customHeight="1" x14ac:dyDescent="0.25">
      <c r="A836" s="27"/>
      <c r="B836" s="27"/>
      <c r="C836" s="27"/>
      <c r="D836" s="27"/>
      <c r="E836" s="15"/>
      <c r="F836" s="26"/>
      <c r="G836" s="15"/>
      <c r="H836" s="26"/>
    </row>
    <row r="837" spans="1:8" ht="15" customHeight="1" x14ac:dyDescent="0.25">
      <c r="A837" s="27"/>
      <c r="B837" s="27"/>
      <c r="C837" s="27"/>
      <c r="D837" s="27"/>
      <c r="E837" s="15"/>
      <c r="F837" s="26"/>
      <c r="G837" s="15"/>
      <c r="H837" s="26"/>
    </row>
    <row r="838" spans="1:8" ht="15" customHeight="1" x14ac:dyDescent="0.25">
      <c r="A838" s="27"/>
      <c r="B838" s="27"/>
      <c r="C838" s="27"/>
      <c r="D838" s="27"/>
      <c r="E838" s="15"/>
      <c r="F838" s="26"/>
      <c r="G838" s="15"/>
      <c r="H838" s="26"/>
    </row>
    <row r="839" spans="1:8" ht="15" customHeight="1" x14ac:dyDescent="0.25">
      <c r="A839" s="27"/>
      <c r="B839" s="27"/>
      <c r="C839" s="27"/>
      <c r="D839" s="27"/>
      <c r="E839" s="15"/>
      <c r="F839" s="26"/>
      <c r="G839" s="15"/>
      <c r="H839" s="26"/>
    </row>
    <row r="840" spans="1:8" ht="15" customHeight="1" x14ac:dyDescent="0.25">
      <c r="A840" s="27"/>
      <c r="B840" s="27"/>
      <c r="C840" s="27"/>
      <c r="D840" s="27"/>
      <c r="E840" s="15"/>
      <c r="F840" s="26"/>
      <c r="G840" s="15"/>
      <c r="H840" s="26"/>
    </row>
    <row r="841" spans="1:8" ht="15" customHeight="1" x14ac:dyDescent="0.25">
      <c r="A841" s="27"/>
      <c r="B841" s="27"/>
      <c r="C841" s="27"/>
      <c r="D841" s="27"/>
      <c r="E841" s="15"/>
      <c r="F841" s="26"/>
      <c r="G841" s="15"/>
      <c r="H841" s="26"/>
    </row>
    <row r="842" spans="1:8" ht="15" customHeight="1" x14ac:dyDescent="0.25">
      <c r="A842" s="27"/>
      <c r="B842" s="27"/>
      <c r="C842" s="27"/>
      <c r="D842" s="27"/>
      <c r="E842" s="15"/>
      <c r="F842" s="26"/>
      <c r="G842" s="15"/>
      <c r="H842" s="26"/>
    </row>
    <row r="843" spans="1:8" ht="15" customHeight="1" x14ac:dyDescent="0.25">
      <c r="A843" s="27"/>
      <c r="B843" s="27"/>
      <c r="C843" s="27"/>
      <c r="D843" s="27"/>
      <c r="E843" s="15"/>
      <c r="F843" s="26"/>
      <c r="G843" s="15"/>
      <c r="H843" s="26"/>
    </row>
    <row r="844" spans="1:8" ht="15" customHeight="1" x14ac:dyDescent="0.25">
      <c r="A844" s="27"/>
      <c r="B844" s="27"/>
      <c r="C844" s="27"/>
      <c r="D844" s="27"/>
      <c r="E844" s="15"/>
      <c r="F844" s="26"/>
      <c r="G844" s="15"/>
      <c r="H844" s="26"/>
    </row>
    <row r="845" spans="1:8" ht="15" customHeight="1" x14ac:dyDescent="0.25">
      <c r="A845" s="27"/>
      <c r="B845" s="27"/>
      <c r="C845" s="27"/>
      <c r="D845" s="27"/>
      <c r="E845" s="15"/>
      <c r="F845" s="26"/>
      <c r="G845" s="15"/>
      <c r="H845" s="26"/>
    </row>
    <row r="846" spans="1:8" ht="15" customHeight="1" x14ac:dyDescent="0.25">
      <c r="A846" s="27"/>
      <c r="B846" s="27"/>
      <c r="C846" s="27"/>
      <c r="D846" s="27"/>
      <c r="E846" s="15"/>
      <c r="F846" s="26"/>
      <c r="G846" s="15"/>
      <c r="H846" s="26"/>
    </row>
    <row r="847" spans="1:8" ht="15" customHeight="1" x14ac:dyDescent="0.25">
      <c r="A847" s="27"/>
      <c r="B847" s="27"/>
      <c r="C847" s="27"/>
      <c r="D847" s="27"/>
      <c r="E847" s="15"/>
      <c r="F847" s="26"/>
      <c r="G847" s="15"/>
      <c r="H847" s="26"/>
    </row>
    <row r="848" spans="1:8" ht="15" customHeight="1" x14ac:dyDescent="0.25">
      <c r="A848" s="27"/>
      <c r="B848" s="27"/>
      <c r="C848" s="27"/>
      <c r="D848" s="27"/>
      <c r="E848" s="15"/>
      <c r="F848" s="26"/>
      <c r="G848" s="15"/>
      <c r="H848" s="26"/>
    </row>
    <row r="849" spans="1:8" ht="15" customHeight="1" x14ac:dyDescent="0.25">
      <c r="A849" s="27"/>
      <c r="B849" s="27"/>
      <c r="C849" s="27"/>
      <c r="D849" s="27"/>
      <c r="E849" s="15"/>
      <c r="F849" s="26"/>
      <c r="G849" s="15"/>
      <c r="H849" s="26"/>
    </row>
    <row r="850" spans="1:8" ht="15" customHeight="1" x14ac:dyDescent="0.25">
      <c r="A850" s="27"/>
      <c r="B850" s="27"/>
      <c r="C850" s="27"/>
      <c r="D850" s="27"/>
      <c r="E850" s="15"/>
      <c r="F850" s="26"/>
      <c r="G850" s="15"/>
      <c r="H850" s="26"/>
    </row>
    <row r="851" spans="1:8" ht="15" customHeight="1" x14ac:dyDescent="0.25">
      <c r="A851" s="27"/>
      <c r="B851" s="27"/>
      <c r="C851" s="27"/>
      <c r="D851" s="27"/>
      <c r="E851" s="15"/>
      <c r="F851" s="26"/>
      <c r="G851" s="15"/>
      <c r="H851" s="26"/>
    </row>
    <row r="852" spans="1:8" ht="15" customHeight="1" x14ac:dyDescent="0.25">
      <c r="A852" s="27"/>
      <c r="B852" s="27"/>
      <c r="C852" s="27"/>
      <c r="D852" s="27"/>
      <c r="E852" s="15"/>
      <c r="F852" s="26"/>
      <c r="G852" s="15"/>
      <c r="H852" s="26"/>
    </row>
    <row r="853" spans="1:8" ht="15" customHeight="1" x14ac:dyDescent="0.25">
      <c r="A853" s="27"/>
      <c r="B853" s="27"/>
      <c r="C853" s="27"/>
      <c r="D853" s="27"/>
      <c r="E853" s="15"/>
      <c r="F853" s="26"/>
      <c r="G853" s="15"/>
      <c r="H853" s="26"/>
    </row>
    <row r="854" spans="1:8" ht="15" customHeight="1" x14ac:dyDescent="0.25">
      <c r="A854" s="27"/>
      <c r="B854" s="27"/>
      <c r="C854" s="27"/>
      <c r="D854" s="27"/>
      <c r="E854" s="15"/>
      <c r="F854" s="26"/>
      <c r="G854" s="15"/>
      <c r="H854" s="26"/>
    </row>
    <row r="855" spans="1:8" ht="15" customHeight="1" x14ac:dyDescent="0.25">
      <c r="A855" s="27"/>
      <c r="B855" s="27"/>
      <c r="C855" s="27"/>
      <c r="D855" s="27"/>
      <c r="E855" s="15"/>
      <c r="F855" s="26"/>
      <c r="G855" s="15"/>
      <c r="H855" s="26"/>
    </row>
    <row r="856" spans="1:8" ht="15" customHeight="1" x14ac:dyDescent="0.25">
      <c r="A856" s="27"/>
      <c r="B856" s="27"/>
      <c r="C856" s="27"/>
      <c r="D856" s="27"/>
      <c r="E856" s="15"/>
      <c r="F856" s="26"/>
      <c r="G856" s="15"/>
      <c r="H856" s="26"/>
    </row>
    <row r="857" spans="1:8" ht="15" customHeight="1" x14ac:dyDescent="0.25">
      <c r="A857" s="27"/>
      <c r="B857" s="27"/>
      <c r="C857" s="27"/>
      <c r="D857" s="27"/>
      <c r="E857" s="15"/>
      <c r="F857" s="26"/>
      <c r="G857" s="15"/>
      <c r="H857" s="26"/>
    </row>
    <row r="858" spans="1:8" ht="15" customHeight="1" x14ac:dyDescent="0.25">
      <c r="A858" s="27"/>
      <c r="B858" s="27"/>
      <c r="C858" s="27"/>
      <c r="D858" s="27"/>
      <c r="E858" s="15"/>
      <c r="F858" s="26"/>
      <c r="G858" s="15"/>
      <c r="H858" s="26"/>
    </row>
    <row r="859" spans="1:8" ht="15" customHeight="1" x14ac:dyDescent="0.25">
      <c r="A859" s="27"/>
      <c r="B859" s="27"/>
      <c r="C859" s="27"/>
      <c r="D859" s="27"/>
      <c r="E859" s="15"/>
      <c r="F859" s="26"/>
      <c r="G859" s="15"/>
      <c r="H859" s="26"/>
    </row>
    <row r="860" spans="1:8" ht="15" customHeight="1" x14ac:dyDescent="0.25">
      <c r="A860" s="27"/>
      <c r="B860" s="27"/>
      <c r="C860" s="27"/>
      <c r="D860" s="27"/>
      <c r="E860" s="15"/>
      <c r="F860" s="26"/>
      <c r="G860" s="15"/>
      <c r="H860" s="26"/>
    </row>
    <row r="861" spans="1:8" ht="15" customHeight="1" x14ac:dyDescent="0.25">
      <c r="A861" s="27"/>
      <c r="B861" s="27"/>
      <c r="C861" s="27"/>
      <c r="D861" s="27"/>
      <c r="E861" s="15"/>
      <c r="F861" s="26"/>
      <c r="G861" s="15"/>
      <c r="H861" s="26"/>
    </row>
    <row r="862" spans="1:8" ht="15" customHeight="1" x14ac:dyDescent="0.25">
      <c r="A862" s="27"/>
      <c r="B862" s="27"/>
      <c r="C862" s="27"/>
      <c r="D862" s="27"/>
      <c r="E862" s="15"/>
      <c r="F862" s="26"/>
      <c r="G862" s="15"/>
      <c r="H862" s="26"/>
    </row>
    <row r="863" spans="1:8" ht="15" customHeight="1" x14ac:dyDescent="0.25">
      <c r="A863" s="27"/>
      <c r="B863" s="27"/>
      <c r="C863" s="27"/>
      <c r="D863" s="27"/>
      <c r="E863" s="15"/>
      <c r="F863" s="26"/>
      <c r="G863" s="15"/>
      <c r="H863" s="26"/>
    </row>
    <row r="864" spans="1:8" ht="15" customHeight="1" x14ac:dyDescent="0.25">
      <c r="A864" s="27"/>
      <c r="B864" s="27"/>
      <c r="C864" s="27"/>
      <c r="D864" s="27"/>
      <c r="E864" s="15"/>
      <c r="F864" s="26"/>
      <c r="G864" s="15"/>
      <c r="H864" s="26"/>
    </row>
    <row r="865" spans="1:8" ht="15" customHeight="1" x14ac:dyDescent="0.25">
      <c r="A865" s="27"/>
      <c r="B865" s="27"/>
      <c r="C865" s="27"/>
      <c r="D865" s="27"/>
      <c r="E865" s="15"/>
      <c r="F865" s="26"/>
      <c r="G865" s="15"/>
      <c r="H865" s="26"/>
    </row>
    <row r="866" spans="1:8" ht="15" customHeight="1" x14ac:dyDescent="0.25">
      <c r="A866" s="27"/>
      <c r="B866" s="27"/>
      <c r="C866" s="27"/>
      <c r="D866" s="27"/>
      <c r="E866" s="15"/>
      <c r="F866" s="26"/>
      <c r="G866" s="15"/>
      <c r="H866" s="26"/>
    </row>
    <row r="867" spans="1:8" ht="15" customHeight="1" x14ac:dyDescent="0.25">
      <c r="A867" s="27"/>
      <c r="B867" s="27"/>
      <c r="C867" s="27"/>
      <c r="D867" s="27"/>
      <c r="E867" s="15"/>
      <c r="F867" s="26"/>
      <c r="G867" s="15"/>
      <c r="H867" s="26"/>
    </row>
    <row r="868" spans="1:8" ht="15" customHeight="1" x14ac:dyDescent="0.25">
      <c r="A868" s="27"/>
      <c r="B868" s="27"/>
      <c r="C868" s="27"/>
      <c r="D868" s="27"/>
      <c r="E868" s="15"/>
      <c r="F868" s="26"/>
      <c r="G868" s="15"/>
      <c r="H868" s="26"/>
    </row>
    <row r="869" spans="1:8" ht="15" customHeight="1" x14ac:dyDescent="0.25">
      <c r="A869" s="27"/>
      <c r="B869" s="27"/>
      <c r="C869" s="27"/>
      <c r="D869" s="27"/>
      <c r="E869" s="15"/>
      <c r="F869" s="26"/>
      <c r="G869" s="15"/>
      <c r="H869" s="26"/>
    </row>
    <row r="870" spans="1:8" ht="15" customHeight="1" x14ac:dyDescent="0.25">
      <c r="A870" s="27"/>
      <c r="B870" s="27"/>
      <c r="C870" s="27"/>
      <c r="D870" s="27"/>
      <c r="E870" s="15"/>
      <c r="F870" s="26"/>
      <c r="G870" s="15"/>
      <c r="H870" s="26"/>
    </row>
    <row r="871" spans="1:8" ht="15" customHeight="1" x14ac:dyDescent="0.25">
      <c r="A871" s="27"/>
      <c r="B871" s="27"/>
      <c r="C871" s="27"/>
      <c r="D871" s="27"/>
      <c r="E871" s="15"/>
      <c r="F871" s="26"/>
      <c r="G871" s="15"/>
      <c r="H871" s="26"/>
    </row>
    <row r="872" spans="1:8" ht="15" customHeight="1" x14ac:dyDescent="0.25">
      <c r="A872" s="27"/>
      <c r="B872" s="27"/>
      <c r="C872" s="27"/>
      <c r="D872" s="27"/>
      <c r="E872" s="15"/>
      <c r="F872" s="26"/>
      <c r="G872" s="15"/>
      <c r="H872" s="26"/>
    </row>
    <row r="873" spans="1:8" ht="15" customHeight="1" x14ac:dyDescent="0.25">
      <c r="A873" s="27"/>
      <c r="B873" s="27"/>
      <c r="C873" s="27"/>
      <c r="D873" s="27"/>
      <c r="E873" s="15"/>
      <c r="F873" s="26"/>
      <c r="G873" s="15"/>
      <c r="H873" s="26"/>
    </row>
    <row r="874" spans="1:8" ht="15" customHeight="1" x14ac:dyDescent="0.25">
      <c r="A874" s="27"/>
      <c r="B874" s="27"/>
      <c r="C874" s="27"/>
      <c r="D874" s="27"/>
      <c r="E874" s="15"/>
      <c r="F874" s="26"/>
      <c r="G874" s="15"/>
      <c r="H874" s="26"/>
    </row>
    <row r="875" spans="1:8" ht="15" customHeight="1" x14ac:dyDescent="0.25">
      <c r="A875" s="27"/>
      <c r="B875" s="27"/>
      <c r="C875" s="27"/>
      <c r="D875" s="27"/>
      <c r="E875" s="15"/>
      <c r="F875" s="26"/>
      <c r="G875" s="15"/>
      <c r="H875" s="26"/>
    </row>
    <row r="876" spans="1:8" ht="15" customHeight="1" x14ac:dyDescent="0.25">
      <c r="A876" s="27"/>
      <c r="B876" s="27"/>
      <c r="C876" s="27"/>
      <c r="D876" s="27"/>
      <c r="E876" s="15"/>
      <c r="F876" s="26"/>
      <c r="G876" s="15"/>
      <c r="H876" s="26"/>
    </row>
    <row r="877" spans="1:8" ht="15" customHeight="1" x14ac:dyDescent="0.25">
      <c r="A877" s="27"/>
      <c r="B877" s="27"/>
      <c r="C877" s="27"/>
      <c r="D877" s="27"/>
      <c r="E877" s="15"/>
      <c r="F877" s="26"/>
      <c r="G877" s="15"/>
      <c r="H877" s="26"/>
    </row>
    <row r="878" spans="1:8" ht="15" customHeight="1" x14ac:dyDescent="0.25">
      <c r="A878" s="27"/>
      <c r="B878" s="27"/>
      <c r="C878" s="27"/>
      <c r="D878" s="27"/>
      <c r="E878" s="15"/>
      <c r="F878" s="26"/>
      <c r="G878" s="15"/>
      <c r="H878" s="26"/>
    </row>
    <row r="879" spans="1:8" ht="15" customHeight="1" x14ac:dyDescent="0.25">
      <c r="A879" s="27"/>
      <c r="B879" s="27"/>
      <c r="C879" s="27"/>
      <c r="D879" s="27"/>
      <c r="E879" s="15"/>
      <c r="F879" s="26"/>
      <c r="G879" s="15"/>
      <c r="H879" s="26"/>
    </row>
    <row r="880" spans="1:8" ht="15" customHeight="1" x14ac:dyDescent="0.25">
      <c r="A880" s="27"/>
      <c r="B880" s="27"/>
      <c r="C880" s="27"/>
      <c r="D880" s="27"/>
      <c r="E880" s="15"/>
      <c r="F880" s="26"/>
      <c r="G880" s="15"/>
      <c r="H880" s="26"/>
    </row>
    <row r="881" spans="1:8" ht="15" customHeight="1" x14ac:dyDescent="0.25">
      <c r="A881" s="27"/>
      <c r="B881" s="27"/>
      <c r="C881" s="27"/>
      <c r="D881" s="27"/>
      <c r="E881" s="15"/>
      <c r="F881" s="26"/>
      <c r="G881" s="15"/>
      <c r="H881" s="26"/>
    </row>
    <row r="882" spans="1:8" ht="15" customHeight="1" x14ac:dyDescent="0.25">
      <c r="A882" s="27"/>
      <c r="B882" s="27"/>
      <c r="C882" s="27"/>
      <c r="D882" s="27"/>
      <c r="E882" s="15"/>
      <c r="F882" s="26"/>
      <c r="G882" s="15"/>
      <c r="H882" s="26"/>
    </row>
    <row r="883" spans="1:8" ht="15" customHeight="1" x14ac:dyDescent="0.25">
      <c r="A883" s="27"/>
      <c r="B883" s="27"/>
      <c r="C883" s="27"/>
      <c r="D883" s="27"/>
      <c r="E883" s="15"/>
      <c r="F883" s="26"/>
      <c r="G883" s="15"/>
      <c r="H883" s="26"/>
    </row>
    <row r="884" spans="1:8" ht="15" customHeight="1" x14ac:dyDescent="0.25">
      <c r="A884" s="27"/>
      <c r="B884" s="27"/>
      <c r="C884" s="27"/>
      <c r="D884" s="27"/>
      <c r="E884" s="15"/>
      <c r="F884" s="26"/>
      <c r="G884" s="15"/>
      <c r="H884" s="26"/>
    </row>
    <row r="885" spans="1:8" ht="15" customHeight="1" x14ac:dyDescent="0.25">
      <c r="A885" s="27"/>
      <c r="B885" s="27"/>
      <c r="C885" s="27"/>
      <c r="D885" s="27"/>
      <c r="E885" s="15"/>
      <c r="F885" s="26"/>
      <c r="G885" s="15"/>
      <c r="H885" s="26"/>
    </row>
    <row r="886" spans="1:8" ht="15" customHeight="1" x14ac:dyDescent="0.25">
      <c r="A886" s="27"/>
      <c r="B886" s="27"/>
      <c r="C886" s="27"/>
      <c r="D886" s="27"/>
      <c r="E886" s="15"/>
      <c r="F886" s="26"/>
      <c r="G886" s="15"/>
      <c r="H886" s="26"/>
    </row>
    <row r="887" spans="1:8" ht="15" customHeight="1" x14ac:dyDescent="0.25">
      <c r="A887" s="27"/>
      <c r="B887" s="27"/>
      <c r="C887" s="27"/>
      <c r="D887" s="27"/>
      <c r="E887" s="15"/>
      <c r="F887" s="26"/>
      <c r="G887" s="15"/>
      <c r="H887" s="26"/>
    </row>
    <row r="888" spans="1:8" ht="15" customHeight="1" x14ac:dyDescent="0.25">
      <c r="A888" s="27"/>
      <c r="B888" s="27"/>
      <c r="C888" s="27"/>
      <c r="D888" s="27"/>
      <c r="E888" s="15"/>
      <c r="F888" s="26"/>
      <c r="G888" s="15"/>
      <c r="H888" s="26"/>
    </row>
    <row r="889" spans="1:8" ht="15" customHeight="1" x14ac:dyDescent="0.25">
      <c r="A889" s="27"/>
      <c r="B889" s="27"/>
      <c r="C889" s="27"/>
      <c r="D889" s="27"/>
      <c r="E889" s="15"/>
      <c r="F889" s="26"/>
      <c r="G889" s="15"/>
      <c r="H889" s="26"/>
    </row>
    <row r="890" spans="1:8" ht="15" customHeight="1" x14ac:dyDescent="0.25">
      <c r="A890" s="27"/>
      <c r="B890" s="27"/>
      <c r="C890" s="27"/>
      <c r="D890" s="27"/>
      <c r="E890" s="15"/>
      <c r="F890" s="26"/>
      <c r="G890" s="15"/>
      <c r="H890" s="26"/>
    </row>
    <row r="891" spans="1:8" ht="15" customHeight="1" x14ac:dyDescent="0.25">
      <c r="A891" s="27"/>
      <c r="B891" s="27"/>
      <c r="C891" s="27"/>
      <c r="D891" s="27"/>
      <c r="E891" s="15"/>
      <c r="F891" s="26"/>
      <c r="G891" s="15"/>
      <c r="H891" s="26"/>
    </row>
    <row r="892" spans="1:8" ht="15" customHeight="1" x14ac:dyDescent="0.25">
      <c r="A892" s="27"/>
      <c r="B892" s="27"/>
      <c r="C892" s="27"/>
      <c r="D892" s="27"/>
      <c r="E892" s="15"/>
      <c r="F892" s="26"/>
      <c r="G892" s="15"/>
      <c r="H892" s="26"/>
    </row>
    <row r="893" spans="1:8" ht="15" customHeight="1" x14ac:dyDescent="0.25">
      <c r="A893" s="27"/>
      <c r="B893" s="27"/>
      <c r="C893" s="27"/>
      <c r="D893" s="27"/>
      <c r="E893" s="15"/>
      <c r="F893" s="26"/>
      <c r="G893" s="15"/>
      <c r="H893" s="26"/>
    </row>
    <row r="894" spans="1:8" ht="15" customHeight="1" x14ac:dyDescent="0.25">
      <c r="A894" s="27"/>
      <c r="B894" s="27"/>
      <c r="C894" s="27"/>
      <c r="D894" s="27"/>
      <c r="E894" s="15"/>
      <c r="F894" s="26"/>
      <c r="G894" s="15"/>
      <c r="H894" s="26"/>
    </row>
    <row r="895" spans="1:8" ht="15" customHeight="1" x14ac:dyDescent="0.25">
      <c r="A895" s="27"/>
      <c r="B895" s="27"/>
      <c r="C895" s="27"/>
      <c r="D895" s="27"/>
      <c r="E895" s="15"/>
      <c r="F895" s="26"/>
      <c r="G895" s="15"/>
      <c r="H895" s="26"/>
    </row>
    <row r="896" spans="1:8" ht="15" customHeight="1" x14ac:dyDescent="0.25">
      <c r="A896" s="27"/>
      <c r="B896" s="27"/>
      <c r="C896" s="27"/>
      <c r="D896" s="27"/>
      <c r="E896" s="15"/>
      <c r="F896" s="26"/>
      <c r="G896" s="15"/>
      <c r="H896" s="26"/>
    </row>
    <row r="897" spans="1:8" ht="15" customHeight="1" x14ac:dyDescent="0.25">
      <c r="A897" s="27"/>
      <c r="B897" s="27"/>
      <c r="C897" s="27"/>
      <c r="D897" s="27"/>
      <c r="E897" s="15"/>
      <c r="F897" s="26"/>
      <c r="G897" s="15"/>
      <c r="H897" s="26"/>
    </row>
    <row r="898" spans="1:8" ht="15" customHeight="1" x14ac:dyDescent="0.25">
      <c r="A898" s="27"/>
      <c r="B898" s="27"/>
      <c r="C898" s="27"/>
      <c r="D898" s="27"/>
      <c r="E898" s="15"/>
      <c r="F898" s="26"/>
      <c r="G898" s="15"/>
      <c r="H898" s="26"/>
    </row>
    <row r="899" spans="1:8" ht="15" customHeight="1" x14ac:dyDescent="0.25">
      <c r="A899" s="27"/>
      <c r="B899" s="27"/>
      <c r="C899" s="27"/>
      <c r="D899" s="27"/>
      <c r="E899" s="15"/>
      <c r="F899" s="26"/>
      <c r="G899" s="15"/>
      <c r="H899" s="26"/>
    </row>
    <row r="900" spans="1:8" ht="15" customHeight="1" x14ac:dyDescent="0.25">
      <c r="A900" s="27"/>
      <c r="B900" s="27"/>
      <c r="C900" s="27"/>
      <c r="D900" s="27"/>
      <c r="E900" s="15"/>
      <c r="F900" s="26"/>
      <c r="G900" s="15"/>
      <c r="H900" s="26"/>
    </row>
    <row r="901" spans="1:8" ht="15" customHeight="1" x14ac:dyDescent="0.25">
      <c r="A901" s="27"/>
      <c r="B901" s="27"/>
      <c r="C901" s="27"/>
      <c r="D901" s="27"/>
      <c r="E901" s="15"/>
      <c r="F901" s="26"/>
      <c r="G901" s="15"/>
      <c r="H901" s="26"/>
    </row>
    <row r="902" spans="1:8" ht="15" customHeight="1" x14ac:dyDescent="0.25">
      <c r="A902" s="27"/>
      <c r="B902" s="27"/>
      <c r="C902" s="27"/>
      <c r="D902" s="27"/>
      <c r="E902" s="15"/>
      <c r="F902" s="26"/>
      <c r="G902" s="15"/>
      <c r="H902" s="26"/>
    </row>
    <row r="903" spans="1:8" ht="15" customHeight="1" x14ac:dyDescent="0.25">
      <c r="A903" s="27"/>
      <c r="B903" s="27"/>
      <c r="C903" s="27"/>
      <c r="D903" s="27"/>
      <c r="E903" s="15"/>
      <c r="F903" s="26"/>
      <c r="G903" s="15"/>
      <c r="H903" s="26"/>
    </row>
    <row r="904" spans="1:8" ht="15" customHeight="1" x14ac:dyDescent="0.25">
      <c r="A904" s="27"/>
      <c r="B904" s="27"/>
      <c r="C904" s="27"/>
      <c r="D904" s="27"/>
      <c r="E904" s="15"/>
      <c r="F904" s="26"/>
      <c r="G904" s="15"/>
      <c r="H904" s="26"/>
    </row>
    <row r="905" spans="1:8" ht="15" customHeight="1" x14ac:dyDescent="0.25">
      <c r="A905" s="27"/>
      <c r="B905" s="27"/>
      <c r="C905" s="27"/>
      <c r="D905" s="27"/>
      <c r="E905" s="15"/>
      <c r="F905" s="26"/>
      <c r="G905" s="15"/>
      <c r="H905" s="26"/>
    </row>
    <row r="906" spans="1:8" ht="15" customHeight="1" x14ac:dyDescent="0.25">
      <c r="A906" s="27"/>
      <c r="B906" s="27"/>
      <c r="C906" s="27"/>
      <c r="D906" s="27"/>
      <c r="E906" s="15"/>
      <c r="F906" s="26"/>
      <c r="G906" s="15"/>
      <c r="H906" s="26"/>
    </row>
    <row r="907" spans="1:8" ht="15" customHeight="1" x14ac:dyDescent="0.25">
      <c r="A907" s="27"/>
      <c r="B907" s="27"/>
      <c r="C907" s="27"/>
      <c r="D907" s="27"/>
      <c r="E907" s="15"/>
      <c r="F907" s="26"/>
      <c r="G907" s="15"/>
      <c r="H907" s="26"/>
    </row>
    <row r="908" spans="1:8" ht="15" customHeight="1" x14ac:dyDescent="0.25">
      <c r="A908" s="27"/>
      <c r="B908" s="27"/>
      <c r="C908" s="27"/>
      <c r="D908" s="27"/>
      <c r="E908" s="15"/>
      <c r="F908" s="26"/>
      <c r="G908" s="15"/>
      <c r="H908" s="26"/>
    </row>
    <row r="909" spans="1:8" ht="15" customHeight="1" x14ac:dyDescent="0.25">
      <c r="A909" s="27"/>
      <c r="B909" s="27"/>
      <c r="C909" s="27"/>
      <c r="D909" s="27"/>
      <c r="E909" s="15"/>
      <c r="F909" s="26"/>
      <c r="G909" s="15"/>
      <c r="H909" s="26"/>
    </row>
    <row r="910" spans="1:8" ht="15" customHeight="1" x14ac:dyDescent="0.25">
      <c r="A910" s="27"/>
      <c r="B910" s="27"/>
      <c r="C910" s="27"/>
      <c r="D910" s="27"/>
      <c r="E910" s="15"/>
      <c r="F910" s="26"/>
      <c r="G910" s="15"/>
      <c r="H910" s="26"/>
    </row>
    <row r="911" spans="1:8" ht="15" customHeight="1" x14ac:dyDescent="0.25">
      <c r="A911" s="27"/>
      <c r="B911" s="27"/>
      <c r="C911" s="27"/>
      <c r="D911" s="27"/>
      <c r="E911" s="15"/>
      <c r="F911" s="26"/>
      <c r="G911" s="15"/>
      <c r="H911" s="26"/>
    </row>
    <row r="912" spans="1:8" ht="15" customHeight="1" x14ac:dyDescent="0.25">
      <c r="A912" s="27"/>
      <c r="B912" s="27"/>
      <c r="C912" s="27"/>
      <c r="D912" s="27"/>
      <c r="E912" s="15"/>
      <c r="F912" s="26"/>
      <c r="G912" s="15"/>
      <c r="H912" s="26"/>
    </row>
    <row r="913" spans="1:8" ht="15" customHeight="1" x14ac:dyDescent="0.25">
      <c r="A913" s="27"/>
      <c r="B913" s="27"/>
      <c r="C913" s="27"/>
      <c r="D913" s="27"/>
      <c r="E913" s="15"/>
      <c r="F913" s="26"/>
      <c r="G913" s="15"/>
      <c r="H913" s="26"/>
    </row>
    <row r="914" spans="1:8" ht="15" customHeight="1" x14ac:dyDescent="0.25">
      <c r="A914" s="27"/>
      <c r="B914" s="27"/>
      <c r="C914" s="27"/>
      <c r="D914" s="27"/>
      <c r="E914" s="15"/>
      <c r="F914" s="26"/>
      <c r="G914" s="15"/>
      <c r="H914" s="26"/>
    </row>
    <row r="915" spans="1:8" ht="15" customHeight="1" x14ac:dyDescent="0.25">
      <c r="A915" s="27"/>
      <c r="B915" s="27"/>
      <c r="C915" s="27"/>
      <c r="D915" s="27"/>
      <c r="E915" s="15"/>
      <c r="F915" s="26"/>
      <c r="G915" s="15"/>
      <c r="H915" s="26"/>
    </row>
    <row r="916" spans="1:8" ht="15" customHeight="1" x14ac:dyDescent="0.25">
      <c r="A916" s="27"/>
      <c r="B916" s="27"/>
      <c r="C916" s="27"/>
      <c r="D916" s="27"/>
      <c r="E916" s="15"/>
      <c r="F916" s="26"/>
      <c r="G916" s="15"/>
      <c r="H916" s="26"/>
    </row>
    <row r="917" spans="1:8" ht="15" customHeight="1" x14ac:dyDescent="0.25">
      <c r="A917" s="27"/>
      <c r="B917" s="27"/>
      <c r="C917" s="27"/>
      <c r="D917" s="27"/>
      <c r="E917" s="15"/>
      <c r="F917" s="26"/>
      <c r="G917" s="15"/>
      <c r="H917" s="26"/>
    </row>
    <row r="918" spans="1:8" ht="15" customHeight="1" x14ac:dyDescent="0.25">
      <c r="A918" s="27"/>
      <c r="B918" s="27"/>
      <c r="C918" s="27"/>
      <c r="D918" s="27"/>
      <c r="E918" s="15"/>
      <c r="F918" s="26"/>
      <c r="G918" s="15"/>
      <c r="H918" s="26"/>
    </row>
    <row r="919" spans="1:8" ht="15" customHeight="1" x14ac:dyDescent="0.25">
      <c r="A919" s="27"/>
      <c r="B919" s="27"/>
      <c r="C919" s="27"/>
      <c r="D919" s="27"/>
      <c r="E919" s="15"/>
      <c r="F919" s="26"/>
      <c r="G919" s="15"/>
      <c r="H919" s="26"/>
    </row>
    <row r="920" spans="1:8" ht="15" customHeight="1" x14ac:dyDescent="0.25">
      <c r="A920" s="27"/>
      <c r="B920" s="27"/>
      <c r="C920" s="27"/>
      <c r="D920" s="27"/>
      <c r="E920" s="15"/>
      <c r="F920" s="26"/>
      <c r="G920" s="15"/>
      <c r="H920" s="26"/>
    </row>
    <row r="921" spans="1:8" ht="15" customHeight="1" x14ac:dyDescent="0.25">
      <c r="A921" s="27"/>
      <c r="B921" s="27"/>
      <c r="C921" s="27"/>
      <c r="D921" s="27"/>
      <c r="E921" s="15"/>
      <c r="F921" s="26"/>
      <c r="G921" s="15"/>
      <c r="H921" s="26"/>
    </row>
    <row r="922" spans="1:8" ht="15" customHeight="1" x14ac:dyDescent="0.25">
      <c r="A922" s="27"/>
      <c r="B922" s="27"/>
      <c r="C922" s="27"/>
      <c r="D922" s="27"/>
      <c r="E922" s="15"/>
      <c r="F922" s="26"/>
      <c r="G922" s="15"/>
      <c r="H922" s="26"/>
    </row>
    <row r="923" spans="1:8" ht="15" customHeight="1" x14ac:dyDescent="0.25">
      <c r="A923" s="27"/>
      <c r="B923" s="27"/>
      <c r="C923" s="27"/>
      <c r="D923" s="27"/>
      <c r="E923" s="15"/>
      <c r="F923" s="26"/>
      <c r="G923" s="15"/>
      <c r="H923" s="26"/>
    </row>
    <row r="924" spans="1:8" ht="15" customHeight="1" x14ac:dyDescent="0.25">
      <c r="A924" s="27"/>
      <c r="B924" s="27"/>
      <c r="C924" s="27"/>
      <c r="D924" s="27"/>
      <c r="E924" s="15"/>
      <c r="F924" s="26"/>
      <c r="G924" s="15"/>
      <c r="H924" s="26"/>
    </row>
    <row r="925" spans="1:8" ht="15" customHeight="1" x14ac:dyDescent="0.25">
      <c r="A925" s="27"/>
      <c r="B925" s="27"/>
      <c r="C925" s="27"/>
      <c r="D925" s="27"/>
      <c r="E925" s="15"/>
      <c r="F925" s="26"/>
      <c r="G925" s="15"/>
      <c r="H925" s="26"/>
    </row>
    <row r="926" spans="1:8" ht="15" customHeight="1" x14ac:dyDescent="0.25">
      <c r="A926" s="27"/>
      <c r="B926" s="27"/>
      <c r="C926" s="27"/>
      <c r="D926" s="27"/>
      <c r="E926" s="15"/>
      <c r="F926" s="26"/>
      <c r="G926" s="15"/>
      <c r="H926" s="26"/>
    </row>
    <row r="927" spans="1:8" ht="15" customHeight="1" x14ac:dyDescent="0.25">
      <c r="A927" s="27"/>
      <c r="B927" s="27"/>
      <c r="C927" s="27"/>
      <c r="D927" s="27"/>
      <c r="E927" s="15"/>
      <c r="F927" s="26"/>
      <c r="G927" s="15"/>
      <c r="H927" s="26"/>
    </row>
    <row r="928" spans="1:8" ht="15" customHeight="1" x14ac:dyDescent="0.25">
      <c r="A928" s="27"/>
      <c r="B928" s="27"/>
      <c r="C928" s="27"/>
      <c r="D928" s="27"/>
      <c r="E928" s="15"/>
      <c r="F928" s="26"/>
      <c r="G928" s="15"/>
      <c r="H928" s="26"/>
    </row>
    <row r="929" spans="1:8" ht="15" customHeight="1" x14ac:dyDescent="0.25">
      <c r="A929" s="27"/>
      <c r="B929" s="27"/>
      <c r="C929" s="27"/>
      <c r="D929" s="27"/>
      <c r="E929" s="15"/>
      <c r="F929" s="26"/>
      <c r="G929" s="15"/>
      <c r="H929" s="26"/>
    </row>
    <row r="930" spans="1:8" ht="15" customHeight="1" x14ac:dyDescent="0.25">
      <c r="A930" s="27"/>
      <c r="B930" s="27"/>
      <c r="C930" s="27"/>
      <c r="D930" s="27"/>
      <c r="E930" s="15"/>
      <c r="F930" s="26"/>
      <c r="G930" s="15"/>
      <c r="H930" s="26"/>
    </row>
    <row r="931" spans="1:8" ht="15" customHeight="1" x14ac:dyDescent="0.25">
      <c r="A931" s="27"/>
      <c r="B931" s="27"/>
      <c r="C931" s="27"/>
      <c r="D931" s="27"/>
      <c r="E931" s="15"/>
      <c r="F931" s="26"/>
      <c r="G931" s="15"/>
      <c r="H931" s="26"/>
    </row>
    <row r="932" spans="1:8" ht="15" customHeight="1" x14ac:dyDescent="0.25">
      <c r="A932" s="27"/>
      <c r="B932" s="27"/>
      <c r="C932" s="27"/>
      <c r="D932" s="27"/>
      <c r="E932" s="15"/>
      <c r="F932" s="26"/>
      <c r="G932" s="15"/>
      <c r="H932" s="26"/>
    </row>
    <row r="933" spans="1:8" ht="15" customHeight="1" x14ac:dyDescent="0.25">
      <c r="A933" s="27"/>
      <c r="B933" s="27"/>
      <c r="C933" s="27"/>
      <c r="D933" s="27"/>
      <c r="E933" s="15"/>
      <c r="F933" s="26"/>
      <c r="G933" s="15"/>
      <c r="H933" s="26"/>
    </row>
    <row r="934" spans="1:8" ht="15" customHeight="1" x14ac:dyDescent="0.25">
      <c r="A934" s="27"/>
      <c r="B934" s="27"/>
      <c r="C934" s="27"/>
      <c r="D934" s="27"/>
      <c r="E934" s="15"/>
      <c r="F934" s="26"/>
      <c r="G934" s="15"/>
      <c r="H934" s="26"/>
    </row>
    <row r="935" spans="1:8" ht="15" customHeight="1" x14ac:dyDescent="0.25">
      <c r="A935" s="27"/>
      <c r="B935" s="27"/>
      <c r="C935" s="27"/>
      <c r="D935" s="27"/>
      <c r="E935" s="15"/>
      <c r="F935" s="26"/>
      <c r="G935" s="15"/>
      <c r="H935" s="26"/>
    </row>
    <row r="936" spans="1:8" ht="15" customHeight="1" x14ac:dyDescent="0.25">
      <c r="A936" s="27"/>
      <c r="B936" s="27"/>
      <c r="C936" s="27"/>
      <c r="D936" s="27"/>
      <c r="E936" s="15"/>
      <c r="F936" s="26"/>
      <c r="G936" s="15"/>
      <c r="H936" s="26"/>
    </row>
    <row r="937" spans="1:8" ht="15" customHeight="1" x14ac:dyDescent="0.25">
      <c r="A937" s="27"/>
      <c r="B937" s="27"/>
      <c r="C937" s="27"/>
      <c r="D937" s="27"/>
      <c r="E937" s="15"/>
      <c r="F937" s="26"/>
      <c r="G937" s="15"/>
      <c r="H937" s="26"/>
    </row>
    <row r="938" spans="1:8" ht="15" customHeight="1" x14ac:dyDescent="0.25">
      <c r="A938" s="27"/>
      <c r="B938" s="27"/>
      <c r="C938" s="27"/>
      <c r="D938" s="27"/>
      <c r="E938" s="15"/>
      <c r="F938" s="26"/>
      <c r="G938" s="15"/>
      <c r="H938" s="26"/>
    </row>
    <row r="939" spans="1:8" ht="15" customHeight="1" x14ac:dyDescent="0.25">
      <c r="A939" s="27"/>
      <c r="B939" s="27"/>
      <c r="C939" s="27"/>
      <c r="D939" s="27"/>
      <c r="E939" s="15"/>
      <c r="F939" s="26"/>
      <c r="G939" s="15"/>
      <c r="H939" s="26"/>
    </row>
    <row r="940" spans="1:8" ht="15" customHeight="1" x14ac:dyDescent="0.25">
      <c r="A940" s="27"/>
      <c r="B940" s="27"/>
      <c r="C940" s="27"/>
      <c r="D940" s="27"/>
      <c r="E940" s="15"/>
      <c r="F940" s="26"/>
      <c r="G940" s="15"/>
      <c r="H940" s="26"/>
    </row>
    <row r="941" spans="1:8" ht="15" customHeight="1" x14ac:dyDescent="0.25">
      <c r="A941" s="27"/>
      <c r="B941" s="27"/>
      <c r="C941" s="27"/>
      <c r="D941" s="27"/>
      <c r="E941" s="15"/>
      <c r="F941" s="26"/>
      <c r="G941" s="15"/>
      <c r="H941" s="26"/>
    </row>
    <row r="942" spans="1:8" ht="15" customHeight="1" x14ac:dyDescent="0.25">
      <c r="A942" s="27"/>
      <c r="B942" s="27"/>
      <c r="C942" s="27"/>
      <c r="D942" s="27"/>
      <c r="E942" s="15"/>
      <c r="F942" s="26"/>
      <c r="G942" s="15"/>
      <c r="H942" s="26"/>
    </row>
    <row r="943" spans="1:8" ht="15" customHeight="1" x14ac:dyDescent="0.25">
      <c r="A943" s="27"/>
      <c r="B943" s="27"/>
      <c r="C943" s="27"/>
      <c r="D943" s="27"/>
      <c r="E943" s="15"/>
      <c r="F943" s="26"/>
      <c r="G943" s="15"/>
      <c r="H943" s="26"/>
    </row>
    <row r="944" spans="1:8" ht="15" customHeight="1" x14ac:dyDescent="0.25">
      <c r="A944" s="27"/>
      <c r="B944" s="27"/>
      <c r="C944" s="27"/>
      <c r="D944" s="27"/>
      <c r="E944" s="15"/>
      <c r="F944" s="26"/>
      <c r="G944" s="15"/>
      <c r="H944" s="26"/>
    </row>
    <row r="945" spans="1:8" ht="15" customHeight="1" x14ac:dyDescent="0.25">
      <c r="A945" s="27"/>
      <c r="B945" s="27"/>
      <c r="C945" s="27"/>
      <c r="D945" s="27"/>
      <c r="E945" s="15"/>
      <c r="F945" s="26"/>
      <c r="G945" s="15"/>
      <c r="H945" s="26"/>
    </row>
    <row r="946" spans="1:8" ht="15" customHeight="1" x14ac:dyDescent="0.25">
      <c r="A946" s="27"/>
      <c r="B946" s="27"/>
      <c r="C946" s="27"/>
      <c r="D946" s="27"/>
      <c r="E946" s="15"/>
      <c r="F946" s="26"/>
      <c r="G946" s="15"/>
      <c r="H946" s="26"/>
    </row>
    <row r="947" spans="1:8" ht="15" customHeight="1" x14ac:dyDescent="0.25">
      <c r="A947" s="27"/>
      <c r="B947" s="27"/>
      <c r="C947" s="27"/>
      <c r="D947" s="27"/>
      <c r="E947" s="15"/>
      <c r="F947" s="26"/>
      <c r="G947" s="15"/>
      <c r="H947" s="26"/>
    </row>
    <row r="948" spans="1:8" ht="15" customHeight="1" x14ac:dyDescent="0.25">
      <c r="A948" s="27"/>
      <c r="B948" s="27"/>
      <c r="C948" s="27"/>
      <c r="D948" s="27"/>
      <c r="E948" s="15"/>
      <c r="F948" s="26"/>
      <c r="G948" s="15"/>
      <c r="H948" s="26"/>
    </row>
    <row r="949" spans="1:8" ht="15" customHeight="1" x14ac:dyDescent="0.25">
      <c r="A949" s="27"/>
      <c r="B949" s="27"/>
      <c r="C949" s="27"/>
      <c r="D949" s="27"/>
      <c r="E949" s="15"/>
      <c r="F949" s="26"/>
      <c r="G949" s="15"/>
      <c r="H949" s="26"/>
    </row>
    <row r="950" spans="1:8" ht="15" customHeight="1" x14ac:dyDescent="0.25">
      <c r="A950" s="27"/>
      <c r="B950" s="27"/>
      <c r="C950" s="27"/>
      <c r="D950" s="27"/>
      <c r="E950" s="15"/>
      <c r="F950" s="26"/>
      <c r="G950" s="15"/>
      <c r="H950" s="26"/>
    </row>
    <row r="951" spans="1:8" ht="15" customHeight="1" x14ac:dyDescent="0.25">
      <c r="A951" s="27"/>
      <c r="B951" s="27"/>
      <c r="C951" s="27"/>
      <c r="D951" s="27"/>
      <c r="E951" s="15"/>
      <c r="F951" s="26"/>
      <c r="G951" s="15"/>
      <c r="H951" s="26"/>
    </row>
    <row r="952" spans="1:8" ht="15" customHeight="1" x14ac:dyDescent="0.25">
      <c r="A952" s="27"/>
      <c r="B952" s="27"/>
      <c r="C952" s="27"/>
      <c r="D952" s="27"/>
      <c r="E952" s="15"/>
      <c r="F952" s="26"/>
      <c r="G952" s="15"/>
      <c r="H952" s="26"/>
    </row>
    <row r="953" spans="1:8" ht="15" customHeight="1" x14ac:dyDescent="0.25">
      <c r="A953" s="27"/>
      <c r="B953" s="27"/>
      <c r="C953" s="27"/>
      <c r="D953" s="27"/>
      <c r="E953" s="15"/>
      <c r="F953" s="26"/>
      <c r="G953" s="15"/>
      <c r="H953" s="26"/>
    </row>
    <row r="954" spans="1:8" ht="15" customHeight="1" x14ac:dyDescent="0.25">
      <c r="A954" s="27"/>
      <c r="B954" s="27"/>
      <c r="C954" s="27"/>
      <c r="D954" s="27"/>
      <c r="E954" s="15"/>
      <c r="F954" s="26"/>
      <c r="G954" s="15"/>
      <c r="H954" s="26"/>
    </row>
    <row r="955" spans="1:8" ht="15" customHeight="1" x14ac:dyDescent="0.25">
      <c r="A955" s="27"/>
      <c r="B955" s="27"/>
      <c r="C955" s="27"/>
      <c r="D955" s="27"/>
      <c r="E955" s="15"/>
      <c r="F955" s="26"/>
      <c r="G955" s="15"/>
      <c r="H955" s="26"/>
    </row>
    <row r="956" spans="1:8" ht="15" customHeight="1" x14ac:dyDescent="0.25">
      <c r="A956" s="27"/>
      <c r="B956" s="27"/>
      <c r="C956" s="27"/>
      <c r="D956" s="27"/>
      <c r="E956" s="15"/>
      <c r="F956" s="26"/>
      <c r="G956" s="15"/>
      <c r="H956" s="26"/>
    </row>
    <row r="957" spans="1:8" ht="15" customHeight="1" x14ac:dyDescent="0.25">
      <c r="A957" s="27"/>
      <c r="B957" s="27"/>
      <c r="C957" s="27"/>
      <c r="D957" s="27"/>
      <c r="E957" s="15"/>
      <c r="F957" s="26"/>
      <c r="G957" s="15"/>
      <c r="H957" s="26"/>
    </row>
    <row r="958" spans="1:8" ht="15" customHeight="1" x14ac:dyDescent="0.25">
      <c r="A958" s="27"/>
      <c r="B958" s="27"/>
      <c r="C958" s="27"/>
      <c r="D958" s="27"/>
      <c r="E958" s="15"/>
      <c r="F958" s="26"/>
      <c r="G958" s="15"/>
      <c r="H958" s="26"/>
    </row>
    <row r="959" spans="1:8" ht="15" customHeight="1" x14ac:dyDescent="0.25">
      <c r="A959" s="27"/>
      <c r="B959" s="27"/>
      <c r="C959" s="27"/>
      <c r="D959" s="27"/>
      <c r="E959" s="15"/>
      <c r="F959" s="26"/>
      <c r="G959" s="15"/>
      <c r="H959" s="26"/>
    </row>
    <row r="960" spans="1:8" ht="15" customHeight="1" x14ac:dyDescent="0.25">
      <c r="A960" s="27"/>
      <c r="B960" s="27"/>
      <c r="C960" s="27"/>
      <c r="D960" s="27"/>
      <c r="E960" s="15"/>
      <c r="F960" s="26"/>
      <c r="G960" s="15"/>
      <c r="H960" s="26"/>
    </row>
    <row r="961" spans="1:8" ht="15" customHeight="1" x14ac:dyDescent="0.25">
      <c r="A961" s="27"/>
      <c r="B961" s="27"/>
      <c r="C961" s="27"/>
      <c r="D961" s="27"/>
      <c r="E961" s="15"/>
      <c r="F961" s="26"/>
      <c r="G961" s="15"/>
      <c r="H961" s="26"/>
    </row>
    <row r="962" spans="1:8" ht="15" customHeight="1" x14ac:dyDescent="0.25">
      <c r="A962" s="27"/>
      <c r="B962" s="27"/>
      <c r="C962" s="27"/>
      <c r="D962" s="27"/>
      <c r="E962" s="15"/>
      <c r="F962" s="26"/>
      <c r="G962" s="15"/>
      <c r="H962" s="26"/>
    </row>
    <row r="963" spans="1:8" ht="15" customHeight="1" x14ac:dyDescent="0.25">
      <c r="A963" s="27"/>
      <c r="B963" s="27"/>
      <c r="C963" s="27"/>
      <c r="D963" s="27"/>
      <c r="E963" s="15"/>
      <c r="F963" s="26"/>
      <c r="G963" s="15"/>
      <c r="H963" s="26"/>
    </row>
    <row r="964" spans="1:8" ht="15" customHeight="1" x14ac:dyDescent="0.25">
      <c r="A964" s="27"/>
      <c r="B964" s="27"/>
      <c r="C964" s="27"/>
      <c r="D964" s="27"/>
      <c r="E964" s="15"/>
      <c r="F964" s="26"/>
      <c r="G964" s="15"/>
      <c r="H964" s="26"/>
    </row>
    <row r="965" spans="1:8" ht="15" customHeight="1" x14ac:dyDescent="0.25">
      <c r="A965" s="27"/>
      <c r="B965" s="27"/>
      <c r="C965" s="27"/>
      <c r="D965" s="27"/>
      <c r="E965" s="15"/>
      <c r="F965" s="26"/>
      <c r="G965" s="15"/>
      <c r="H965" s="26"/>
    </row>
    <row r="966" spans="1:8" ht="15" customHeight="1" x14ac:dyDescent="0.25">
      <c r="A966" s="27"/>
      <c r="B966" s="27"/>
      <c r="C966" s="27"/>
      <c r="D966" s="27"/>
      <c r="E966" s="15"/>
      <c r="F966" s="26"/>
      <c r="G966" s="15"/>
      <c r="H966" s="26"/>
    </row>
    <row r="967" spans="1:8" ht="15" customHeight="1" x14ac:dyDescent="0.25">
      <c r="A967" s="27"/>
      <c r="B967" s="27"/>
      <c r="C967" s="27"/>
      <c r="D967" s="27"/>
      <c r="E967" s="15"/>
      <c r="F967" s="26"/>
      <c r="G967" s="15"/>
      <c r="H967" s="26"/>
    </row>
    <row r="968" spans="1:8" ht="15" customHeight="1" x14ac:dyDescent="0.25">
      <c r="A968" s="27"/>
      <c r="B968" s="27"/>
      <c r="C968" s="27"/>
      <c r="D968" s="27"/>
      <c r="E968" s="15"/>
      <c r="F968" s="26"/>
      <c r="G968" s="15"/>
      <c r="H968" s="26"/>
    </row>
    <row r="969" spans="1:8" ht="15" customHeight="1" x14ac:dyDescent="0.25">
      <c r="A969" s="27"/>
      <c r="B969" s="27"/>
      <c r="C969" s="27"/>
      <c r="D969" s="27"/>
      <c r="E969" s="15"/>
      <c r="F969" s="26"/>
      <c r="G969" s="15"/>
      <c r="H969" s="26"/>
    </row>
    <row r="970" spans="1:8" ht="15" customHeight="1" x14ac:dyDescent="0.25">
      <c r="A970" s="27"/>
      <c r="B970" s="27"/>
      <c r="C970" s="27"/>
      <c r="D970" s="27"/>
      <c r="E970" s="15"/>
      <c r="F970" s="26"/>
      <c r="G970" s="15"/>
      <c r="H970" s="26"/>
    </row>
    <row r="971" spans="1:8" ht="15" customHeight="1" x14ac:dyDescent="0.25">
      <c r="A971" s="27"/>
      <c r="B971" s="27"/>
      <c r="C971" s="27"/>
      <c r="D971" s="27"/>
      <c r="E971" s="15"/>
      <c r="F971" s="26"/>
      <c r="G971" s="15"/>
      <c r="H971" s="26"/>
    </row>
    <row r="972" spans="1:8" ht="15" customHeight="1" x14ac:dyDescent="0.25">
      <c r="A972" s="27"/>
      <c r="B972" s="27"/>
      <c r="C972" s="27"/>
      <c r="D972" s="27"/>
      <c r="E972" s="15"/>
      <c r="F972" s="26"/>
      <c r="G972" s="15"/>
      <c r="H972" s="26"/>
    </row>
    <row r="973" spans="1:8" ht="15" customHeight="1" x14ac:dyDescent="0.25">
      <c r="A973" s="27"/>
      <c r="B973" s="27"/>
      <c r="C973" s="27"/>
      <c r="D973" s="27"/>
      <c r="E973" s="15"/>
      <c r="F973" s="26"/>
      <c r="G973" s="15"/>
      <c r="H973" s="26"/>
    </row>
    <row r="974" spans="1:8" ht="15" customHeight="1" x14ac:dyDescent="0.25">
      <c r="A974" s="27"/>
      <c r="B974" s="27"/>
      <c r="C974" s="27"/>
      <c r="D974" s="27"/>
      <c r="E974" s="15"/>
      <c r="F974" s="26"/>
      <c r="G974" s="15"/>
      <c r="H974" s="26"/>
    </row>
    <row r="975" spans="1:8" ht="15" customHeight="1" x14ac:dyDescent="0.25">
      <c r="A975" s="27"/>
      <c r="B975" s="27"/>
      <c r="C975" s="27"/>
      <c r="D975" s="27"/>
      <c r="E975" s="15"/>
      <c r="F975" s="26"/>
      <c r="G975" s="15"/>
      <c r="H975" s="26"/>
    </row>
    <row r="976" spans="1:8" ht="15" customHeight="1" x14ac:dyDescent="0.25">
      <c r="A976" s="27"/>
      <c r="B976" s="27"/>
      <c r="C976" s="27"/>
      <c r="D976" s="27"/>
      <c r="E976" s="15"/>
      <c r="F976" s="26"/>
      <c r="G976" s="15"/>
      <c r="H976" s="26"/>
    </row>
    <row r="977" spans="1:8" ht="15" customHeight="1" x14ac:dyDescent="0.25">
      <c r="A977" s="27"/>
      <c r="B977" s="27"/>
      <c r="C977" s="27"/>
      <c r="D977" s="27"/>
      <c r="E977" s="15"/>
      <c r="F977" s="26"/>
      <c r="G977" s="15"/>
      <c r="H977" s="26"/>
    </row>
    <row r="978" spans="1:8" ht="15" customHeight="1" x14ac:dyDescent="0.25">
      <c r="A978" s="27"/>
      <c r="B978" s="27"/>
      <c r="C978" s="27"/>
      <c r="D978" s="27"/>
      <c r="E978" s="15"/>
      <c r="F978" s="26"/>
      <c r="G978" s="15"/>
      <c r="H978" s="26"/>
    </row>
    <row r="979" spans="1:8" ht="15" customHeight="1" x14ac:dyDescent="0.25">
      <c r="A979" s="27"/>
      <c r="B979" s="27"/>
      <c r="C979" s="27"/>
      <c r="D979" s="27"/>
      <c r="E979" s="15"/>
      <c r="F979" s="26"/>
      <c r="G979" s="15"/>
      <c r="H979" s="26"/>
    </row>
    <row r="980" spans="1:8" ht="15" customHeight="1" x14ac:dyDescent="0.25">
      <c r="A980" s="27"/>
      <c r="B980" s="27"/>
      <c r="C980" s="27"/>
      <c r="D980" s="27"/>
      <c r="E980" s="15"/>
      <c r="F980" s="26"/>
      <c r="G980" s="15"/>
      <c r="H980" s="26"/>
    </row>
    <row r="981" spans="1:8" ht="15" customHeight="1" x14ac:dyDescent="0.25">
      <c r="A981" s="27"/>
      <c r="B981" s="27"/>
      <c r="C981" s="27"/>
      <c r="D981" s="27"/>
      <c r="E981" s="15"/>
      <c r="F981" s="26"/>
      <c r="G981" s="15"/>
      <c r="H981" s="26"/>
    </row>
    <row r="982" spans="1:8" ht="15" customHeight="1" x14ac:dyDescent="0.25">
      <c r="A982" s="27"/>
      <c r="B982" s="27"/>
      <c r="C982" s="27"/>
      <c r="D982" s="27"/>
      <c r="E982" s="15"/>
      <c r="F982" s="26"/>
      <c r="G982" s="15"/>
      <c r="H982" s="26"/>
    </row>
    <row r="983" spans="1:8" ht="15" customHeight="1" x14ac:dyDescent="0.25">
      <c r="A983" s="27"/>
      <c r="B983" s="27"/>
      <c r="C983" s="27"/>
      <c r="D983" s="27"/>
      <c r="E983" s="15"/>
      <c r="F983" s="26"/>
      <c r="G983" s="15"/>
      <c r="H983" s="26"/>
    </row>
    <row r="984" spans="1:8" ht="15" customHeight="1" x14ac:dyDescent="0.25">
      <c r="A984" s="27"/>
      <c r="B984" s="27"/>
      <c r="C984" s="27"/>
      <c r="D984" s="27"/>
      <c r="E984" s="15"/>
      <c r="F984" s="26"/>
      <c r="G984" s="15"/>
      <c r="H984" s="26"/>
    </row>
    <row r="985" spans="1:8" ht="15" customHeight="1" x14ac:dyDescent="0.25">
      <c r="A985" s="27"/>
      <c r="B985" s="27"/>
      <c r="C985" s="27"/>
      <c r="D985" s="27"/>
      <c r="E985" s="15"/>
      <c r="F985" s="26"/>
      <c r="G985" s="15"/>
      <c r="H985" s="26"/>
    </row>
    <row r="986" spans="1:8" ht="15" customHeight="1" x14ac:dyDescent="0.25">
      <c r="A986" s="27"/>
      <c r="B986" s="27"/>
      <c r="C986" s="27"/>
      <c r="D986" s="27"/>
      <c r="E986" s="15"/>
      <c r="F986" s="26"/>
      <c r="G986" s="15"/>
      <c r="H986" s="26"/>
    </row>
    <row r="987" spans="1:8" ht="15" customHeight="1" x14ac:dyDescent="0.25">
      <c r="A987" s="27"/>
      <c r="B987" s="27"/>
      <c r="C987" s="27"/>
      <c r="D987" s="27"/>
      <c r="E987" s="15"/>
      <c r="F987" s="26"/>
      <c r="G987" s="15"/>
      <c r="H987" s="26"/>
    </row>
    <row r="988" spans="1:8" ht="15" customHeight="1" x14ac:dyDescent="0.25">
      <c r="A988" s="27"/>
      <c r="B988" s="27"/>
      <c r="C988" s="27"/>
      <c r="D988" s="27"/>
      <c r="E988" s="15"/>
      <c r="F988" s="26"/>
      <c r="G988" s="15"/>
      <c r="H988" s="26"/>
    </row>
    <row r="989" spans="1:8" ht="15" customHeight="1" x14ac:dyDescent="0.25">
      <c r="A989" s="27"/>
      <c r="B989" s="27"/>
      <c r="C989" s="27"/>
      <c r="D989" s="27"/>
      <c r="E989" s="15"/>
      <c r="F989" s="26"/>
      <c r="G989" s="15"/>
      <c r="H989" s="26"/>
    </row>
    <row r="990" spans="1:8" ht="15" customHeight="1" x14ac:dyDescent="0.25">
      <c r="A990" s="27"/>
      <c r="B990" s="27"/>
      <c r="C990" s="27"/>
      <c r="D990" s="27"/>
      <c r="E990" s="15"/>
      <c r="F990" s="26"/>
      <c r="G990" s="15"/>
      <c r="H990" s="26"/>
    </row>
    <row r="991" spans="1:8" ht="15" customHeight="1" x14ac:dyDescent="0.25">
      <c r="A991" s="27"/>
      <c r="B991" s="27"/>
      <c r="C991" s="27"/>
      <c r="D991" s="27"/>
      <c r="E991" s="15"/>
      <c r="F991" s="26"/>
      <c r="G991" s="15"/>
      <c r="H991" s="26"/>
    </row>
    <row r="992" spans="1:8" ht="15" customHeight="1" x14ac:dyDescent="0.25">
      <c r="A992" s="27"/>
      <c r="B992" s="27"/>
      <c r="C992" s="27"/>
      <c r="D992" s="27"/>
      <c r="E992" s="15"/>
      <c r="F992" s="26"/>
      <c r="G992" s="15"/>
      <c r="H992" s="26"/>
    </row>
    <row r="993" spans="1:8" ht="15" customHeight="1" x14ac:dyDescent="0.25">
      <c r="A993" s="27"/>
      <c r="B993" s="27"/>
      <c r="C993" s="27"/>
      <c r="D993" s="27"/>
      <c r="E993" s="15"/>
      <c r="F993" s="26"/>
      <c r="G993" s="15"/>
      <c r="H993" s="26"/>
    </row>
    <row r="994" spans="1:8" ht="15" customHeight="1" x14ac:dyDescent="0.25">
      <c r="A994" s="27"/>
      <c r="B994" s="27"/>
      <c r="C994" s="27"/>
      <c r="D994" s="27"/>
      <c r="E994" s="15"/>
      <c r="F994" s="26"/>
      <c r="G994" s="15"/>
      <c r="H994" s="26"/>
    </row>
    <row r="995" spans="1:8" ht="15" customHeight="1" x14ac:dyDescent="0.25">
      <c r="A995" s="27"/>
      <c r="B995" s="27"/>
      <c r="C995" s="27"/>
      <c r="D995" s="27"/>
      <c r="E995" s="15"/>
      <c r="F995" s="26"/>
      <c r="G995" s="15"/>
      <c r="H995" s="26"/>
    </row>
    <row r="996" spans="1:8" ht="15" customHeight="1" x14ac:dyDescent="0.25">
      <c r="A996" s="27"/>
      <c r="B996" s="27"/>
      <c r="C996" s="27"/>
      <c r="D996" s="27"/>
      <c r="E996" s="15"/>
      <c r="F996" s="26"/>
      <c r="G996" s="15"/>
      <c r="H996" s="26"/>
    </row>
    <row r="997" spans="1:8" ht="15" customHeight="1" x14ac:dyDescent="0.25">
      <c r="A997" s="27"/>
      <c r="B997" s="27"/>
      <c r="C997" s="27"/>
      <c r="D997" s="27"/>
      <c r="E997" s="15"/>
      <c r="F997" s="26"/>
      <c r="G997" s="15"/>
      <c r="H997" s="26"/>
    </row>
    <row r="998" spans="1:8" ht="15" customHeight="1" x14ac:dyDescent="0.25">
      <c r="A998" s="27"/>
      <c r="B998" s="27"/>
      <c r="C998" s="27"/>
      <c r="D998" s="27"/>
      <c r="E998" s="15"/>
      <c r="F998" s="26"/>
      <c r="G998" s="15"/>
      <c r="H998" s="26"/>
    </row>
    <row r="999" spans="1:8" ht="15" customHeight="1" x14ac:dyDescent="0.25">
      <c r="A999" s="27"/>
      <c r="B999" s="27"/>
      <c r="C999" s="27"/>
      <c r="D999" s="27"/>
      <c r="E999" s="15"/>
      <c r="F999" s="26"/>
      <c r="G999" s="15"/>
      <c r="H999" s="26"/>
    </row>
    <row r="1000" spans="1:8" ht="15" customHeight="1" x14ac:dyDescent="0.25">
      <c r="A1000" s="27"/>
      <c r="B1000" s="27"/>
      <c r="C1000" s="27"/>
      <c r="D1000" s="27"/>
      <c r="E1000" s="15"/>
      <c r="F1000" s="26"/>
      <c r="G1000" s="15"/>
      <c r="H1000" s="26"/>
    </row>
    <row r="1001" spans="1:8" ht="15" customHeight="1" x14ac:dyDescent="0.25">
      <c r="A1001" s="27"/>
      <c r="B1001" s="27"/>
      <c r="C1001" s="27"/>
      <c r="D1001" s="27"/>
      <c r="E1001" s="15"/>
      <c r="F1001" s="26"/>
      <c r="G1001" s="15"/>
      <c r="H1001" s="26"/>
    </row>
    <row r="1002" spans="1:8" ht="15" customHeight="1" x14ac:dyDescent="0.25">
      <c r="A1002" s="27"/>
      <c r="B1002" s="27"/>
      <c r="C1002" s="27"/>
      <c r="D1002" s="27"/>
      <c r="E1002" s="15"/>
      <c r="F1002" s="26"/>
      <c r="G1002" s="15"/>
      <c r="H1002" s="26"/>
    </row>
    <row r="1003" spans="1:8" ht="15" customHeight="1" x14ac:dyDescent="0.25">
      <c r="A1003" s="27"/>
      <c r="B1003" s="27"/>
      <c r="C1003" s="27"/>
      <c r="D1003" s="27"/>
      <c r="E1003" s="15"/>
      <c r="F1003" s="26"/>
      <c r="G1003" s="15"/>
      <c r="H1003" s="26"/>
    </row>
    <row r="1004" spans="1:8" ht="15" customHeight="1" x14ac:dyDescent="0.25">
      <c r="A1004" s="27"/>
      <c r="B1004" s="27"/>
      <c r="C1004" s="27"/>
      <c r="D1004" s="27"/>
      <c r="E1004" s="15"/>
      <c r="F1004" s="26"/>
      <c r="G1004" s="15"/>
      <c r="H1004" s="26"/>
    </row>
    <row r="1005" spans="1:8" ht="15" customHeight="1" x14ac:dyDescent="0.25">
      <c r="A1005" s="27"/>
      <c r="B1005" s="27"/>
      <c r="C1005" s="27"/>
      <c r="D1005" s="27"/>
      <c r="E1005" s="15"/>
      <c r="F1005" s="26"/>
      <c r="G1005" s="15"/>
      <c r="H1005" s="26"/>
    </row>
    <row r="1006" spans="1:8" ht="15" customHeight="1" x14ac:dyDescent="0.25">
      <c r="A1006" s="27"/>
      <c r="B1006" s="27"/>
      <c r="C1006" s="27"/>
      <c r="D1006" s="27"/>
      <c r="E1006" s="15"/>
      <c r="F1006" s="26"/>
      <c r="G1006" s="15"/>
      <c r="H1006" s="26"/>
    </row>
    <row r="1007" spans="1:8" ht="15" customHeight="1" x14ac:dyDescent="0.25">
      <c r="A1007" s="27"/>
      <c r="B1007" s="27"/>
      <c r="C1007" s="27"/>
      <c r="D1007" s="27"/>
      <c r="E1007" s="15"/>
      <c r="F1007" s="26"/>
      <c r="G1007" s="15"/>
      <c r="H1007" s="26"/>
    </row>
    <row r="1008" spans="1:8" ht="15" customHeight="1" x14ac:dyDescent="0.25">
      <c r="A1008" s="27"/>
      <c r="B1008" s="27"/>
      <c r="C1008" s="27"/>
      <c r="D1008" s="27"/>
      <c r="E1008" s="15"/>
      <c r="F1008" s="26"/>
      <c r="G1008" s="15"/>
      <c r="H1008" s="26"/>
    </row>
    <row r="1009" spans="1:8" ht="15" customHeight="1" x14ac:dyDescent="0.25">
      <c r="A1009" s="27"/>
      <c r="B1009" s="27"/>
      <c r="C1009" s="27"/>
      <c r="D1009" s="27"/>
      <c r="E1009" s="15"/>
      <c r="F1009" s="26"/>
      <c r="G1009" s="15"/>
      <c r="H1009" s="26"/>
    </row>
    <row r="1010" spans="1:8" ht="15" customHeight="1" x14ac:dyDescent="0.25">
      <c r="A1010" s="27"/>
      <c r="B1010" s="27"/>
      <c r="C1010" s="27"/>
      <c r="D1010" s="27"/>
      <c r="E1010" s="15"/>
      <c r="F1010" s="26"/>
      <c r="G1010" s="15"/>
      <c r="H1010" s="26"/>
    </row>
    <row r="1011" spans="1:8" ht="15" customHeight="1" x14ac:dyDescent="0.25">
      <c r="A1011" s="27"/>
      <c r="B1011" s="27"/>
      <c r="C1011" s="27"/>
      <c r="D1011" s="27"/>
      <c r="E1011" s="15"/>
      <c r="F1011" s="26"/>
      <c r="G1011" s="15"/>
      <c r="H1011" s="26"/>
    </row>
    <row r="1012" spans="1:8" ht="15" customHeight="1" x14ac:dyDescent="0.25">
      <c r="A1012" s="27"/>
      <c r="B1012" s="27"/>
      <c r="C1012" s="27"/>
      <c r="D1012" s="27"/>
      <c r="E1012" s="15"/>
      <c r="F1012" s="26"/>
      <c r="G1012" s="15"/>
      <c r="H1012" s="26"/>
    </row>
    <row r="1013" spans="1:8" ht="15" customHeight="1" x14ac:dyDescent="0.25">
      <c r="A1013" s="27"/>
      <c r="B1013" s="27"/>
      <c r="C1013" s="27"/>
      <c r="D1013" s="27"/>
      <c r="E1013" s="15"/>
      <c r="F1013" s="26"/>
      <c r="G1013" s="15"/>
      <c r="H1013" s="26"/>
    </row>
    <row r="1014" spans="1:8" ht="15" customHeight="1" x14ac:dyDescent="0.25">
      <c r="A1014" s="27"/>
      <c r="B1014" s="27"/>
      <c r="C1014" s="27"/>
      <c r="D1014" s="27"/>
      <c r="E1014" s="15"/>
      <c r="F1014" s="26"/>
      <c r="G1014" s="15"/>
      <c r="H1014" s="26"/>
    </row>
    <row r="1015" spans="1:8" ht="15" customHeight="1" x14ac:dyDescent="0.25">
      <c r="A1015" s="27"/>
      <c r="B1015" s="27"/>
      <c r="C1015" s="27"/>
      <c r="D1015" s="27"/>
      <c r="E1015" s="15"/>
      <c r="F1015" s="26"/>
      <c r="G1015" s="15"/>
      <c r="H1015" s="26"/>
    </row>
    <row r="1016" spans="1:8" ht="15" customHeight="1" x14ac:dyDescent="0.25">
      <c r="A1016" s="27"/>
      <c r="B1016" s="27"/>
      <c r="C1016" s="27"/>
      <c r="D1016" s="27"/>
      <c r="E1016" s="15"/>
      <c r="F1016" s="26"/>
      <c r="G1016" s="15"/>
      <c r="H1016" s="26"/>
    </row>
    <row r="1017" spans="1:8" ht="15" customHeight="1" x14ac:dyDescent="0.25">
      <c r="A1017" s="27"/>
      <c r="B1017" s="27"/>
      <c r="C1017" s="27"/>
      <c r="D1017" s="27"/>
      <c r="E1017" s="15"/>
      <c r="F1017" s="26"/>
      <c r="G1017" s="15"/>
      <c r="H1017" s="26"/>
    </row>
    <row r="1018" spans="1:8" ht="15" customHeight="1" x14ac:dyDescent="0.25">
      <c r="A1018" s="27"/>
      <c r="B1018" s="27"/>
      <c r="C1018" s="27"/>
      <c r="D1018" s="27"/>
      <c r="E1018" s="15"/>
      <c r="F1018" s="26"/>
      <c r="G1018" s="15"/>
      <c r="H1018" s="26"/>
    </row>
    <row r="1019" spans="1:8" ht="15" customHeight="1" x14ac:dyDescent="0.25">
      <c r="A1019" s="27"/>
      <c r="B1019" s="27"/>
      <c r="C1019" s="27"/>
      <c r="D1019" s="27"/>
      <c r="E1019" s="15"/>
      <c r="F1019" s="26"/>
      <c r="G1019" s="15"/>
      <c r="H1019" s="26"/>
    </row>
    <row r="1020" spans="1:8" ht="15" customHeight="1" x14ac:dyDescent="0.25">
      <c r="A1020" s="27"/>
      <c r="B1020" s="27"/>
      <c r="C1020" s="27"/>
      <c r="D1020" s="27"/>
      <c r="E1020" s="15"/>
      <c r="F1020" s="26"/>
      <c r="G1020" s="15"/>
      <c r="H1020" s="26"/>
    </row>
    <row r="1021" spans="1:8" ht="15" customHeight="1" x14ac:dyDescent="0.25">
      <c r="A1021" s="27"/>
      <c r="B1021" s="27"/>
      <c r="C1021" s="27"/>
      <c r="D1021" s="27"/>
      <c r="E1021" s="15"/>
      <c r="F1021" s="26"/>
      <c r="G1021" s="15"/>
      <c r="H1021" s="26"/>
    </row>
    <row r="1022" spans="1:8" ht="15" customHeight="1" x14ac:dyDescent="0.25">
      <c r="A1022" s="27"/>
      <c r="B1022" s="27"/>
      <c r="C1022" s="27"/>
      <c r="D1022" s="27"/>
      <c r="E1022" s="15"/>
      <c r="F1022" s="26"/>
      <c r="G1022" s="15"/>
      <c r="H1022" s="26"/>
    </row>
    <row r="1023" spans="1:8" ht="15" customHeight="1" x14ac:dyDescent="0.25">
      <c r="A1023" s="27"/>
      <c r="B1023" s="27"/>
      <c r="C1023" s="27"/>
      <c r="D1023" s="27"/>
      <c r="E1023" s="15"/>
      <c r="F1023" s="26"/>
      <c r="G1023" s="15"/>
      <c r="H1023" s="26"/>
    </row>
    <row r="1024" spans="1:8" ht="15" customHeight="1" x14ac:dyDescent="0.25">
      <c r="A1024" s="27"/>
      <c r="B1024" s="27"/>
      <c r="C1024" s="27"/>
      <c r="D1024" s="27"/>
      <c r="E1024" s="15"/>
      <c r="F1024" s="26"/>
      <c r="G1024" s="15"/>
      <c r="H1024" s="26"/>
    </row>
    <row r="1025" spans="1:8" ht="15" customHeight="1" x14ac:dyDescent="0.25">
      <c r="A1025" s="27"/>
      <c r="B1025" s="27"/>
      <c r="C1025" s="27"/>
      <c r="D1025" s="27"/>
      <c r="E1025" s="15"/>
      <c r="F1025" s="26"/>
      <c r="G1025" s="15"/>
      <c r="H1025" s="26"/>
    </row>
    <row r="1026" spans="1:8" ht="15" customHeight="1" x14ac:dyDescent="0.25">
      <c r="A1026" s="27"/>
      <c r="B1026" s="27"/>
      <c r="C1026" s="27"/>
      <c r="D1026" s="27"/>
      <c r="E1026" s="15"/>
      <c r="F1026" s="26"/>
      <c r="G1026" s="15"/>
      <c r="H1026" s="26"/>
    </row>
    <row r="1027" spans="1:8" ht="15" customHeight="1" x14ac:dyDescent="0.25">
      <c r="A1027" s="27"/>
      <c r="B1027" s="27"/>
      <c r="C1027" s="27"/>
      <c r="D1027" s="27"/>
      <c r="E1027" s="15"/>
      <c r="F1027" s="26"/>
      <c r="G1027" s="15"/>
      <c r="H1027" s="2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7.140625" customWidth="1"/>
    <col min="2" max="2" width="12.5703125" customWidth="1"/>
    <col min="3" max="3" width="17.28515625" customWidth="1"/>
    <col min="4" max="4" width="11.5703125" customWidth="1"/>
    <col min="5" max="5" width="10.85546875" customWidth="1"/>
    <col min="6" max="6" width="11.5703125" customWidth="1"/>
    <col min="7" max="8" width="7.5703125" customWidth="1"/>
  </cols>
  <sheetData>
    <row r="1" spans="1:6" ht="23.25" customHeight="1" x14ac:dyDescent="0.35">
      <c r="A1" s="3" t="s">
        <v>282</v>
      </c>
      <c r="B1" s="3"/>
      <c r="C1" s="3"/>
    </row>
    <row r="2" spans="1:6" ht="15" customHeight="1" x14ac:dyDescent="0.25">
      <c r="A2" s="4"/>
      <c r="B2" s="4"/>
      <c r="C2" s="4"/>
    </row>
    <row r="3" spans="1:6" ht="23.25" customHeight="1" x14ac:dyDescent="0.35">
      <c r="A3" s="4"/>
      <c r="B3" s="44">
        <v>2000</v>
      </c>
      <c r="C3" s="44">
        <v>2001</v>
      </c>
      <c r="D3" s="43">
        <v>2004</v>
      </c>
      <c r="E3" s="7">
        <v>2012</v>
      </c>
      <c r="F3" s="5">
        <v>2016</v>
      </c>
    </row>
    <row r="4" spans="1:6" ht="15" customHeight="1" x14ac:dyDescent="0.25">
      <c r="A4" s="8" t="s">
        <v>112</v>
      </c>
      <c r="B4" s="10"/>
      <c r="C4" s="10"/>
      <c r="D4" s="10">
        <f>9/11.57</f>
        <v>0.77787381158167668</v>
      </c>
      <c r="E4" s="10"/>
      <c r="F4" s="10"/>
    </row>
    <row r="5" spans="1:6" ht="15" customHeight="1" x14ac:dyDescent="0.25">
      <c r="A5" s="8" t="s">
        <v>24</v>
      </c>
      <c r="B5" s="10">
        <f>5/13</f>
        <v>0.38461538461538464</v>
      </c>
      <c r="C5" s="10"/>
      <c r="D5" s="10">
        <f t="shared" ref="D5:D6" si="0">0.5/11.57</f>
        <v>4.3215211754537596E-2</v>
      </c>
      <c r="E5" s="10"/>
      <c r="F5" s="10"/>
    </row>
    <row r="6" spans="1:6" ht="15" customHeight="1" x14ac:dyDescent="0.25">
      <c r="A6" s="8" t="s">
        <v>118</v>
      </c>
      <c r="B6" s="10"/>
      <c r="C6" s="10"/>
      <c r="D6" s="10">
        <f t="shared" si="0"/>
        <v>4.3215211754537596E-2</v>
      </c>
      <c r="E6" s="10">
        <f>0.69/16.89</f>
        <v>4.0852575488454702E-2</v>
      </c>
      <c r="F6" s="10"/>
    </row>
    <row r="7" spans="1:6" ht="15" customHeight="1" x14ac:dyDescent="0.25">
      <c r="A7" s="8" t="s">
        <v>128</v>
      </c>
      <c r="B7" s="10"/>
      <c r="C7" s="10"/>
      <c r="D7" s="10">
        <f>1/11.57</f>
        <v>8.6430423509075191E-2</v>
      </c>
      <c r="E7" s="10">
        <f>1.38/16.89</f>
        <v>8.1705150976909405E-2</v>
      </c>
      <c r="F7" s="10"/>
    </row>
    <row r="8" spans="1:6" ht="15" customHeight="1" x14ac:dyDescent="0.25">
      <c r="A8" s="8" t="s">
        <v>165</v>
      </c>
      <c r="B8" s="10"/>
      <c r="C8" s="10"/>
      <c r="D8" s="10">
        <f>0.38/11.57</f>
        <v>3.2843560933448576E-2</v>
      </c>
      <c r="E8" s="10">
        <f>0.38/16.89</f>
        <v>2.2498519834221433E-2</v>
      </c>
      <c r="F8" s="10"/>
    </row>
    <row r="9" spans="1:6" ht="15" customHeight="1" x14ac:dyDescent="0.25">
      <c r="A9" s="8" t="s">
        <v>155</v>
      </c>
      <c r="B9" s="10"/>
      <c r="C9" s="10">
        <f>0.125/15.75</f>
        <v>7.9365079365079361E-3</v>
      </c>
      <c r="D9" s="10">
        <f>0.19/11.57</f>
        <v>1.6421780466724288E-2</v>
      </c>
      <c r="E9" s="10"/>
      <c r="F9" s="10"/>
    </row>
    <row r="10" spans="1:6" ht="15" customHeight="1" x14ac:dyDescent="0.25">
      <c r="A10" s="8" t="s">
        <v>32</v>
      </c>
      <c r="B10" s="10"/>
      <c r="C10" s="10"/>
      <c r="D10" s="10"/>
      <c r="E10" s="10">
        <f>0.69/16.89</f>
        <v>4.0852575488454702E-2</v>
      </c>
      <c r="F10" s="10"/>
    </row>
    <row r="11" spans="1:6" ht="15" customHeight="1" x14ac:dyDescent="0.25">
      <c r="A11" s="8" t="s">
        <v>153</v>
      </c>
      <c r="B11" s="10"/>
      <c r="C11" s="10"/>
      <c r="D11" s="10"/>
      <c r="E11" s="10">
        <f>0.25/16.89</f>
        <v>1.4801657785671996E-2</v>
      </c>
      <c r="F11" s="10"/>
    </row>
    <row r="12" spans="1:6" ht="15" customHeight="1" x14ac:dyDescent="0.25">
      <c r="A12" s="8" t="s">
        <v>214</v>
      </c>
      <c r="B12" s="10"/>
      <c r="C12" s="10">
        <f>11.5/15.75</f>
        <v>0.73015873015873012</v>
      </c>
      <c r="D12" s="10"/>
      <c r="E12" s="10">
        <f>13.5/16.89</f>
        <v>0.79928952042628776</v>
      </c>
      <c r="F12" s="10"/>
    </row>
    <row r="13" spans="1:6" ht="15" customHeight="1" x14ac:dyDescent="0.25">
      <c r="A13" s="16" t="s">
        <v>233</v>
      </c>
      <c r="B13" s="10">
        <f>4/13</f>
        <v>0.30769230769230771</v>
      </c>
      <c r="C13" s="10"/>
      <c r="D13" s="10"/>
      <c r="E13" s="10"/>
      <c r="F13" s="47">
        <f>8.5/11</f>
        <v>0.77272727272727271</v>
      </c>
    </row>
    <row r="14" spans="1:6" ht="15" customHeight="1" x14ac:dyDescent="0.25">
      <c r="A14" s="16" t="s">
        <v>292</v>
      </c>
      <c r="B14" s="10">
        <f>3/13</f>
        <v>0.23076923076923078</v>
      </c>
      <c r="C14" s="10"/>
      <c r="D14" s="10"/>
      <c r="E14" s="10"/>
      <c r="F14" s="10"/>
    </row>
    <row r="15" spans="1:6" ht="15" customHeight="1" x14ac:dyDescent="0.25">
      <c r="A15" s="16" t="s">
        <v>123</v>
      </c>
      <c r="B15" s="10">
        <f>1/13</f>
        <v>7.6923076923076927E-2</v>
      </c>
      <c r="C15" s="10"/>
      <c r="D15" s="10"/>
      <c r="E15" s="10"/>
      <c r="F15" s="10"/>
    </row>
    <row r="16" spans="1:6" ht="15" customHeight="1" x14ac:dyDescent="0.25">
      <c r="A16" s="16" t="s">
        <v>157</v>
      </c>
      <c r="B16" s="10"/>
      <c r="C16" s="10">
        <f>2/15.75</f>
        <v>0.12698412698412698</v>
      </c>
      <c r="D16" s="10"/>
      <c r="E16" s="10"/>
      <c r="F16" s="10"/>
    </row>
    <row r="17" spans="1:6" ht="15" customHeight="1" x14ac:dyDescent="0.25">
      <c r="A17" s="16" t="s">
        <v>293</v>
      </c>
      <c r="B17" s="10"/>
      <c r="C17" s="10">
        <f t="shared" ref="C17:C18" si="1">1/15.75</f>
        <v>6.3492063492063489E-2</v>
      </c>
      <c r="D17" s="10"/>
      <c r="E17" s="10"/>
      <c r="F17" s="10">
        <f>1/11</f>
        <v>9.0909090909090912E-2</v>
      </c>
    </row>
    <row r="18" spans="1:6" ht="15" customHeight="1" x14ac:dyDescent="0.25">
      <c r="A18" s="16" t="s">
        <v>134</v>
      </c>
      <c r="B18" s="10"/>
      <c r="C18" s="10">
        <f t="shared" si="1"/>
        <v>6.3492063492063489E-2</v>
      </c>
      <c r="D18" s="10"/>
      <c r="E18" s="10"/>
      <c r="F18" s="10"/>
    </row>
    <row r="19" spans="1:6" ht="15" customHeight="1" x14ac:dyDescent="0.25">
      <c r="A19" s="16" t="s">
        <v>283</v>
      </c>
      <c r="B19" s="10"/>
      <c r="C19" s="10">
        <f t="shared" ref="C19:C20" si="2">(1/16)/15.75</f>
        <v>3.968253968253968E-3</v>
      </c>
      <c r="D19" s="10"/>
      <c r="E19" s="10"/>
      <c r="F19" s="10">
        <f>0.25/11</f>
        <v>2.2727272727272728E-2</v>
      </c>
    </row>
    <row r="20" spans="1:6" ht="15" customHeight="1" x14ac:dyDescent="0.25">
      <c r="A20" s="16" t="s">
        <v>295</v>
      </c>
      <c r="B20" s="10"/>
      <c r="C20" s="10">
        <f t="shared" si="2"/>
        <v>3.968253968253968E-3</v>
      </c>
      <c r="D20" s="10"/>
      <c r="E20" s="10"/>
      <c r="F20" s="10"/>
    </row>
    <row r="21" spans="1:6" ht="15" customHeight="1" x14ac:dyDescent="0.25">
      <c r="A21" s="16" t="s">
        <v>179</v>
      </c>
      <c r="B21" s="10"/>
      <c r="C21" s="10"/>
      <c r="D21" s="10"/>
      <c r="E21" s="10"/>
      <c r="F21" s="10">
        <f>1/11</f>
        <v>9.0909090909090912E-2</v>
      </c>
    </row>
    <row r="22" spans="1:6" ht="15" customHeight="1" x14ac:dyDescent="0.25">
      <c r="A22" s="16" t="s">
        <v>38</v>
      </c>
      <c r="B22" s="10"/>
      <c r="C22" s="10"/>
      <c r="D22" s="10"/>
      <c r="E22" s="10"/>
      <c r="F22" s="10">
        <f>0.25/11</f>
        <v>2.2727272727272728E-2</v>
      </c>
    </row>
    <row r="23" spans="1:6" ht="15" customHeight="1" x14ac:dyDescent="0.25">
      <c r="A23" s="4"/>
    </row>
    <row r="24" spans="1:6" ht="15" customHeight="1" x14ac:dyDescent="0.25">
      <c r="A24" s="17" t="s">
        <v>28</v>
      </c>
      <c r="B24" s="9"/>
      <c r="C24" s="9"/>
      <c r="D24" s="9"/>
      <c r="E24" s="9"/>
      <c r="F24" s="20" t="s">
        <v>242</v>
      </c>
    </row>
    <row r="25" spans="1:6" ht="30" customHeight="1" x14ac:dyDescent="0.25">
      <c r="A25" s="18" t="s">
        <v>31</v>
      </c>
      <c r="B25" s="19"/>
      <c r="C25" s="19"/>
      <c r="D25" s="19" t="s">
        <v>195</v>
      </c>
      <c r="E25" s="19" t="s">
        <v>195</v>
      </c>
      <c r="F25" s="19"/>
    </row>
    <row r="26" spans="1:6" ht="15" customHeight="1" x14ac:dyDescent="0.25">
      <c r="A26" s="18" t="s">
        <v>39</v>
      </c>
      <c r="B26" s="9"/>
      <c r="C26" s="20" t="s">
        <v>195</v>
      </c>
      <c r="D26" s="9"/>
      <c r="E26" s="9"/>
      <c r="F26" s="9"/>
    </row>
    <row r="27" spans="1:6" ht="15" customHeight="1" x14ac:dyDescent="0.25">
      <c r="A27" s="18" t="s">
        <v>40</v>
      </c>
      <c r="B27" s="20" t="s">
        <v>196</v>
      </c>
      <c r="C27" s="9"/>
      <c r="D27" s="9"/>
      <c r="E27" s="9"/>
      <c r="F27" s="9"/>
    </row>
    <row r="28" spans="1:6" ht="15" customHeight="1" x14ac:dyDescent="0.25">
      <c r="A28" s="18" t="s">
        <v>41</v>
      </c>
      <c r="B28" s="9"/>
      <c r="C28" s="9"/>
      <c r="D28" s="9"/>
      <c r="E28" s="9"/>
      <c r="F28" s="9"/>
    </row>
    <row r="29" spans="1:6" ht="15" customHeight="1" x14ac:dyDescent="0.25">
      <c r="A29" s="18" t="s">
        <v>43</v>
      </c>
      <c r="B29" s="19"/>
      <c r="C29" s="19"/>
      <c r="D29" s="19"/>
      <c r="E29" s="9"/>
      <c r="F29" s="9"/>
    </row>
    <row r="30" spans="1:6" ht="15" customHeight="1" x14ac:dyDescent="0.25">
      <c r="A30" s="18" t="s">
        <v>44</v>
      </c>
      <c r="B30" s="9"/>
      <c r="C30" s="9"/>
      <c r="D30" s="9"/>
      <c r="E30" s="9"/>
      <c r="F30" s="9"/>
    </row>
    <row r="31" spans="1:6" ht="15" customHeight="1" x14ac:dyDescent="0.25">
      <c r="A31" s="18" t="s">
        <v>45</v>
      </c>
      <c r="B31" s="19"/>
      <c r="C31" s="19"/>
      <c r="D31" s="19"/>
      <c r="E31" s="9"/>
      <c r="F31" s="9"/>
    </row>
    <row r="32" spans="1:6" ht="15" customHeight="1" x14ac:dyDescent="0.25">
      <c r="A32" s="18" t="s">
        <v>52</v>
      </c>
      <c r="B32" s="19"/>
      <c r="C32" s="19"/>
      <c r="D32" s="19"/>
      <c r="E32" s="9"/>
      <c r="F32" s="9"/>
    </row>
    <row r="33" spans="1:6" ht="15" customHeight="1" x14ac:dyDescent="0.25">
      <c r="A33" s="4"/>
    </row>
    <row r="34" spans="1:6" ht="15" customHeight="1" x14ac:dyDescent="0.25">
      <c r="A34" s="17" t="s">
        <v>53</v>
      </c>
      <c r="B34" s="20">
        <v>1.054</v>
      </c>
      <c r="C34" s="20">
        <v>1.075</v>
      </c>
      <c r="D34" s="9">
        <v>1.05</v>
      </c>
      <c r="E34" s="9">
        <v>1.069</v>
      </c>
      <c r="F34" s="20">
        <v>1.052</v>
      </c>
    </row>
    <row r="35" spans="1:6" ht="15" customHeight="1" x14ac:dyDescent="0.25">
      <c r="A35" s="17" t="s">
        <v>55</v>
      </c>
      <c r="B35" s="25">
        <v>1.012</v>
      </c>
      <c r="C35" s="25">
        <v>1.03</v>
      </c>
      <c r="D35" s="24" t="s">
        <v>106</v>
      </c>
      <c r="E35" s="9">
        <v>1.0189999999999999</v>
      </c>
      <c r="F35" s="20">
        <v>1.01</v>
      </c>
    </row>
    <row r="36" spans="1:6" ht="15" customHeight="1" x14ac:dyDescent="0.25">
      <c r="A36" s="17" t="s">
        <v>57</v>
      </c>
      <c r="B36" s="25">
        <v>150</v>
      </c>
      <c r="C36" s="25" t="s">
        <v>296</v>
      </c>
      <c r="D36" s="24">
        <v>158</v>
      </c>
      <c r="E36" s="9">
        <v>158</v>
      </c>
      <c r="F36" s="20">
        <v>156</v>
      </c>
    </row>
    <row r="37" spans="1:6" ht="15" customHeight="1" x14ac:dyDescent="0.25">
      <c r="A37" s="17" t="s">
        <v>58</v>
      </c>
      <c r="B37" s="25">
        <v>1338</v>
      </c>
      <c r="C37" s="25">
        <v>1728</v>
      </c>
      <c r="D37" s="24" t="s">
        <v>199</v>
      </c>
      <c r="E37" s="24" t="s">
        <v>199</v>
      </c>
      <c r="F37" s="25" t="s">
        <v>297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5" customWidth="1"/>
    <col min="2" max="2" width="16" customWidth="1"/>
    <col min="3" max="3" width="17.7109375" customWidth="1"/>
    <col min="4" max="4" width="10.85546875" customWidth="1"/>
    <col min="5" max="5" width="10.5703125" customWidth="1"/>
    <col min="6" max="6" width="9.85546875" customWidth="1"/>
    <col min="7" max="7" width="9" customWidth="1"/>
    <col min="8" max="8" width="10.85546875" customWidth="1"/>
  </cols>
  <sheetData>
    <row r="1" spans="1:8" ht="23.25" customHeight="1" x14ac:dyDescent="0.35">
      <c r="A1" s="3" t="s">
        <v>284</v>
      </c>
      <c r="B1" s="3"/>
      <c r="C1" s="3"/>
    </row>
    <row r="2" spans="1:8" ht="15" customHeight="1" x14ac:dyDescent="0.25">
      <c r="A2" s="4"/>
      <c r="B2" s="4"/>
      <c r="C2" s="4"/>
    </row>
    <row r="3" spans="1:8" ht="23.25" customHeight="1" x14ac:dyDescent="0.35">
      <c r="A3" s="4"/>
      <c r="B3" s="44">
        <v>2002</v>
      </c>
      <c r="C3" s="44">
        <v>2003</v>
      </c>
      <c r="D3" s="43">
        <v>2004</v>
      </c>
      <c r="E3" s="7">
        <v>2008</v>
      </c>
      <c r="F3" s="43">
        <v>2010</v>
      </c>
      <c r="G3" s="7">
        <v>2012</v>
      </c>
      <c r="H3" s="5">
        <v>2015</v>
      </c>
    </row>
    <row r="4" spans="1:8" ht="15" customHeight="1" x14ac:dyDescent="0.25">
      <c r="A4" s="8" t="s">
        <v>214</v>
      </c>
      <c r="B4" s="10">
        <f>15/19.5</f>
        <v>0.76923076923076927</v>
      </c>
      <c r="C4" s="10"/>
      <c r="D4" s="10">
        <f>14.5/18.01</f>
        <v>0.80510827318156575</v>
      </c>
      <c r="E4" s="10"/>
      <c r="F4" s="10"/>
      <c r="G4" s="10"/>
      <c r="H4" s="10"/>
    </row>
    <row r="5" spans="1:8" ht="15" customHeight="1" x14ac:dyDescent="0.25">
      <c r="A5" s="8" t="s">
        <v>285</v>
      </c>
      <c r="B5" s="10"/>
      <c r="C5" s="10"/>
      <c r="D5" s="10">
        <f>2/18.01</f>
        <v>0.11104941699056078</v>
      </c>
      <c r="E5" s="10"/>
      <c r="F5" s="10"/>
      <c r="G5" s="10"/>
      <c r="H5" s="10"/>
    </row>
    <row r="6" spans="1:8" ht="15" customHeight="1" x14ac:dyDescent="0.25">
      <c r="A6" s="8" t="s">
        <v>72</v>
      </c>
      <c r="B6" s="10"/>
      <c r="C6" s="10"/>
      <c r="D6" s="10">
        <f>0.5/18.01</f>
        <v>2.7762354247640196E-2</v>
      </c>
      <c r="E6" s="10"/>
      <c r="F6" s="10"/>
      <c r="G6" s="10"/>
      <c r="H6" s="21">
        <v>2.3E-2</v>
      </c>
    </row>
    <row r="7" spans="1:8" ht="15" customHeight="1" x14ac:dyDescent="0.25">
      <c r="A7" s="8" t="s">
        <v>287</v>
      </c>
      <c r="B7" s="10"/>
      <c r="C7" s="10"/>
      <c r="D7" s="10">
        <f>0.25/18.01</f>
        <v>1.3881177123820098E-2</v>
      </c>
      <c r="E7" s="10"/>
      <c r="F7" s="10"/>
      <c r="G7" s="10"/>
      <c r="H7" s="10"/>
    </row>
    <row r="8" spans="1:8" ht="15" customHeight="1" x14ac:dyDescent="0.25">
      <c r="A8" s="8" t="s">
        <v>155</v>
      </c>
      <c r="B8" s="10">
        <f>0.125/19.5</f>
        <v>6.41025641025641E-3</v>
      </c>
      <c r="C8" s="10"/>
      <c r="D8" s="10">
        <f>0.13/18.01</f>
        <v>7.2182121043864516E-3</v>
      </c>
      <c r="E8" s="10"/>
      <c r="F8" s="10"/>
      <c r="G8" s="10"/>
      <c r="H8" s="10"/>
    </row>
    <row r="9" spans="1:8" ht="15" customHeight="1" x14ac:dyDescent="0.25">
      <c r="A9" s="8" t="s">
        <v>289</v>
      </c>
      <c r="B9" s="10"/>
      <c r="C9" s="10"/>
      <c r="D9" s="10">
        <f>0.25/18.01</f>
        <v>1.3881177123820098E-2</v>
      </c>
      <c r="E9" s="10"/>
      <c r="F9" s="10"/>
      <c r="G9" s="10"/>
      <c r="H9" s="10"/>
    </row>
    <row r="10" spans="1:8" ht="15" customHeight="1" x14ac:dyDescent="0.25">
      <c r="A10" s="8" t="s">
        <v>290</v>
      </c>
      <c r="B10" s="10"/>
      <c r="C10" s="10"/>
      <c r="D10" s="10">
        <f>0.38/18.01</f>
        <v>2.1099389228206551E-2</v>
      </c>
      <c r="E10" s="10"/>
      <c r="F10" s="10"/>
      <c r="G10" s="10"/>
      <c r="H10" s="10"/>
    </row>
    <row r="11" spans="1:8" ht="15" customHeight="1" x14ac:dyDescent="0.25">
      <c r="A11" s="8" t="s">
        <v>233</v>
      </c>
      <c r="B11" s="10"/>
      <c r="C11" s="10"/>
      <c r="D11" s="10"/>
      <c r="E11" s="10">
        <f>24/35.875</f>
        <v>0.66898954703832758</v>
      </c>
      <c r="F11" s="10"/>
      <c r="G11" s="10"/>
      <c r="H11" s="21">
        <v>0.67600000000000005</v>
      </c>
    </row>
    <row r="12" spans="1:8" ht="15" customHeight="1" x14ac:dyDescent="0.25">
      <c r="A12" s="8" t="s">
        <v>134</v>
      </c>
      <c r="B12" s="10"/>
      <c r="C12" s="10"/>
      <c r="D12" s="10"/>
      <c r="E12" s="10">
        <f t="shared" ref="E12:E13" si="0">4/35.875</f>
        <v>0.11149825783972125</v>
      </c>
      <c r="F12" s="10"/>
      <c r="G12" s="10">
        <f>(9.5/16)/18.243</f>
        <v>3.254673025269967E-2</v>
      </c>
      <c r="H12" s="10"/>
    </row>
    <row r="13" spans="1:8" ht="15" customHeight="1" x14ac:dyDescent="0.25">
      <c r="A13" s="8" t="s">
        <v>24</v>
      </c>
      <c r="B13" s="10">
        <f>3/19.5</f>
        <v>0.15384615384615385</v>
      </c>
      <c r="C13" s="10"/>
      <c r="D13" s="10"/>
      <c r="E13" s="10">
        <f t="shared" si="0"/>
        <v>0.11149825783972125</v>
      </c>
      <c r="F13" s="10">
        <f t="shared" ref="F13:F14" si="1">1/17.33</f>
        <v>5.7703404500865557E-2</v>
      </c>
      <c r="G13" s="10"/>
      <c r="H13" s="20">
        <v>0.1</v>
      </c>
    </row>
    <row r="14" spans="1:8" ht="15" customHeight="1" x14ac:dyDescent="0.25">
      <c r="A14" s="8" t="s">
        <v>38</v>
      </c>
      <c r="B14" s="10">
        <f>0.5/19.5</f>
        <v>2.564102564102564E-2</v>
      </c>
      <c r="C14" s="10"/>
      <c r="D14" s="10"/>
      <c r="E14" s="10">
        <f>2/35.875</f>
        <v>5.5749128919860627E-2</v>
      </c>
      <c r="F14" s="10">
        <f t="shared" si="1"/>
        <v>5.7703404500865557E-2</v>
      </c>
      <c r="G14" s="10"/>
      <c r="H14" s="10"/>
    </row>
    <row r="15" spans="1:8" ht="15" customHeight="1" x14ac:dyDescent="0.25">
      <c r="A15" s="8" t="s">
        <v>165</v>
      </c>
      <c r="B15" s="10"/>
      <c r="C15" s="10">
        <f>0.6/14.85</f>
        <v>4.0404040404040401E-2</v>
      </c>
      <c r="D15" s="10"/>
      <c r="E15" s="10">
        <f>1.5/35.875</f>
        <v>4.1811846689895474E-2</v>
      </c>
      <c r="F15" s="10"/>
      <c r="G15" s="10"/>
      <c r="H15" s="10"/>
    </row>
    <row r="16" spans="1:8" ht="15" customHeight="1" x14ac:dyDescent="0.25">
      <c r="A16" s="8" t="s">
        <v>283</v>
      </c>
      <c r="B16" s="10">
        <f>0.25/19.5</f>
        <v>1.282051282051282E-2</v>
      </c>
      <c r="C16" s="10">
        <f>0.25/14.85</f>
        <v>1.6835016835016835E-2</v>
      </c>
      <c r="D16" s="10"/>
      <c r="E16" s="10">
        <f>0.375/35.875</f>
        <v>1.0452961672473868E-2</v>
      </c>
      <c r="F16" s="10">
        <f>0.33/17.33</f>
        <v>1.9042123485285636E-2</v>
      </c>
      <c r="G16" s="10">
        <f>(5/16)/18.243</f>
        <v>1.7129858027736668E-2</v>
      </c>
      <c r="H16" s="20">
        <v>0.8</v>
      </c>
    </row>
    <row r="17" spans="1:8" ht="15" customHeight="1" x14ac:dyDescent="0.25">
      <c r="A17" s="8" t="s">
        <v>112</v>
      </c>
      <c r="B17" s="10"/>
      <c r="C17" s="10">
        <f>13/14.85</f>
        <v>0.87542087542087543</v>
      </c>
      <c r="D17" s="10"/>
      <c r="E17" s="10"/>
      <c r="F17" s="10">
        <f>14/17.33</f>
        <v>0.80784766301211774</v>
      </c>
      <c r="G17" s="10">
        <f>13.75/18.243</f>
        <v>0.75371375322041334</v>
      </c>
      <c r="H17" s="10"/>
    </row>
    <row r="18" spans="1:8" ht="15" customHeight="1" x14ac:dyDescent="0.25">
      <c r="A18" s="8" t="s">
        <v>157</v>
      </c>
      <c r="B18" s="10">
        <f>0.375/19.5</f>
        <v>1.9230769230769232E-2</v>
      </c>
      <c r="C18" s="10">
        <f>0.4/14.85</f>
        <v>2.6936026936026938E-2</v>
      </c>
      <c r="D18" s="10"/>
      <c r="E18" s="10"/>
      <c r="F18" s="10">
        <f>1/17.33</f>
        <v>5.7703404500865557E-2</v>
      </c>
      <c r="G18" s="10"/>
      <c r="H18" s="21">
        <v>4.4999999999999998E-2</v>
      </c>
    </row>
    <row r="19" spans="1:8" ht="15" customHeight="1" x14ac:dyDescent="0.25">
      <c r="A19" s="8" t="s">
        <v>164</v>
      </c>
      <c r="B19" s="10"/>
      <c r="C19" s="10">
        <f>0.6/14.85</f>
        <v>4.0404040404040401E-2</v>
      </c>
      <c r="D19" s="10"/>
      <c r="E19" s="10"/>
      <c r="F19" s="10"/>
      <c r="G19" s="10">
        <f t="shared" ref="G19:G20" si="2">(9.5/16)/18.243</f>
        <v>3.254673025269967E-2</v>
      </c>
      <c r="H19" s="10"/>
    </row>
    <row r="20" spans="1:8" ht="15" customHeight="1" x14ac:dyDescent="0.25">
      <c r="A20" s="8" t="s">
        <v>295</v>
      </c>
      <c r="B20" s="10"/>
      <c r="C20" s="10"/>
      <c r="D20" s="10"/>
      <c r="E20" s="10"/>
      <c r="F20" s="10"/>
      <c r="G20" s="10">
        <f t="shared" si="2"/>
        <v>3.254673025269967E-2</v>
      </c>
      <c r="H20" s="10"/>
    </row>
    <row r="21" spans="1:8" ht="15" customHeight="1" x14ac:dyDescent="0.25">
      <c r="A21" s="8" t="s">
        <v>17</v>
      </c>
      <c r="B21" s="10"/>
      <c r="C21" s="10"/>
      <c r="D21" s="10"/>
      <c r="E21" s="10"/>
      <c r="F21" s="10"/>
      <c r="G21" s="10">
        <f>2.4/18.243</f>
        <v>0.1315573096530176</v>
      </c>
      <c r="H21" s="21">
        <v>4.4999999999999998E-2</v>
      </c>
    </row>
    <row r="22" spans="1:8" ht="15" customHeight="1" x14ac:dyDescent="0.25">
      <c r="A22" s="16" t="s">
        <v>250</v>
      </c>
      <c r="B22" s="10">
        <f>0.25/19.5</f>
        <v>1.282051282051282E-2</v>
      </c>
      <c r="C22" s="10"/>
      <c r="D22" s="10"/>
      <c r="E22" s="10"/>
      <c r="F22" s="10"/>
      <c r="G22" s="10"/>
      <c r="H22" s="10"/>
    </row>
    <row r="23" spans="1:8" ht="15" customHeight="1" x14ac:dyDescent="0.25">
      <c r="A23" s="16" t="s">
        <v>123</v>
      </c>
      <c r="B23" s="10"/>
      <c r="C23" s="10"/>
      <c r="D23" s="10"/>
      <c r="E23" s="10"/>
      <c r="F23" s="10"/>
      <c r="G23" s="10"/>
      <c r="H23" s="21">
        <v>4.4999999999999998E-2</v>
      </c>
    </row>
    <row r="24" spans="1:8" ht="15" customHeight="1" x14ac:dyDescent="0.25">
      <c r="A24" s="16" t="s">
        <v>301</v>
      </c>
      <c r="B24" s="10"/>
      <c r="C24" s="10"/>
      <c r="D24" s="10"/>
      <c r="E24" s="10"/>
      <c r="F24" s="10"/>
      <c r="G24" s="10"/>
      <c r="H24" s="21">
        <v>4.4999999999999998E-2</v>
      </c>
    </row>
    <row r="25" spans="1:8" ht="15" customHeight="1" x14ac:dyDescent="0.25">
      <c r="A25" s="16" t="s">
        <v>302</v>
      </c>
      <c r="B25" s="10"/>
      <c r="C25" s="10"/>
      <c r="D25" s="10"/>
      <c r="E25" s="10"/>
      <c r="F25" s="10"/>
      <c r="G25" s="10"/>
      <c r="H25" s="21">
        <v>4.4999999999999998E-2</v>
      </c>
    </row>
    <row r="26" spans="1:8" ht="15" customHeight="1" x14ac:dyDescent="0.25">
      <c r="A26" s="16" t="s">
        <v>74</v>
      </c>
      <c r="B26" s="10"/>
      <c r="C26" s="10"/>
      <c r="D26" s="10"/>
      <c r="E26" s="10"/>
      <c r="F26" s="10"/>
      <c r="G26" s="10"/>
      <c r="H26" s="21">
        <v>4.4999999999999998E-2</v>
      </c>
    </row>
    <row r="27" spans="1:8" ht="15" customHeight="1" x14ac:dyDescent="0.25">
      <c r="A27" s="16" t="s">
        <v>294</v>
      </c>
      <c r="B27" s="10"/>
      <c r="C27" s="10"/>
      <c r="D27" s="10"/>
      <c r="E27" s="10"/>
      <c r="F27" s="10"/>
      <c r="G27" s="10"/>
      <c r="H27" s="21">
        <v>2.3E-2</v>
      </c>
    </row>
    <row r="28" spans="1:8" ht="15" customHeight="1" x14ac:dyDescent="0.25">
      <c r="A28" s="35"/>
    </row>
    <row r="29" spans="1:8" ht="15" customHeight="1" x14ac:dyDescent="0.25">
      <c r="A29" s="35"/>
    </row>
    <row r="30" spans="1:8" ht="30" customHeight="1" x14ac:dyDescent="0.25">
      <c r="A30" s="17" t="s">
        <v>28</v>
      </c>
      <c r="B30" s="9"/>
      <c r="C30" s="20" t="s">
        <v>195</v>
      </c>
      <c r="D30" s="9"/>
      <c r="E30" s="19" t="s">
        <v>195</v>
      </c>
      <c r="F30" s="9"/>
      <c r="G30" s="9"/>
      <c r="H30" s="9"/>
    </row>
    <row r="31" spans="1:8" ht="15" customHeight="1" x14ac:dyDescent="0.25">
      <c r="A31" s="48" t="s">
        <v>96</v>
      </c>
      <c r="B31" s="20"/>
      <c r="C31" s="9"/>
      <c r="D31" s="9"/>
      <c r="E31" s="19"/>
      <c r="F31" s="9"/>
      <c r="G31" s="9"/>
      <c r="H31" s="46" t="s">
        <v>170</v>
      </c>
    </row>
    <row r="32" spans="1:8" ht="15" customHeight="1" x14ac:dyDescent="0.25">
      <c r="A32" s="17" t="s">
        <v>113</v>
      </c>
      <c r="B32" s="20" t="s">
        <v>170</v>
      </c>
      <c r="C32" s="9"/>
      <c r="D32" s="9"/>
      <c r="E32" s="19"/>
      <c r="F32" s="9"/>
      <c r="G32" s="9" t="s">
        <v>303</v>
      </c>
      <c r="H32" s="9"/>
    </row>
    <row r="33" spans="1:8" ht="30" customHeight="1" x14ac:dyDescent="0.25">
      <c r="A33" s="18" t="s">
        <v>31</v>
      </c>
      <c r="B33" s="22" t="s">
        <v>170</v>
      </c>
      <c r="C33" s="20" t="s">
        <v>195</v>
      </c>
      <c r="D33" s="19" t="s">
        <v>195</v>
      </c>
      <c r="E33" s="19"/>
      <c r="F33" s="19" t="s">
        <v>98</v>
      </c>
      <c r="G33" s="19"/>
      <c r="H33" s="19"/>
    </row>
    <row r="34" spans="1:8" ht="15" customHeight="1" x14ac:dyDescent="0.25">
      <c r="A34" s="18" t="s">
        <v>39</v>
      </c>
      <c r="B34" s="22" t="s">
        <v>170</v>
      </c>
      <c r="C34" s="20" t="s">
        <v>195</v>
      </c>
      <c r="D34" s="9"/>
      <c r="E34" s="19"/>
      <c r="F34" s="9"/>
      <c r="G34" s="9"/>
      <c r="H34" s="46" t="s">
        <v>170</v>
      </c>
    </row>
    <row r="35" spans="1:8" ht="30" customHeight="1" x14ac:dyDescent="0.25">
      <c r="A35" s="18" t="s">
        <v>40</v>
      </c>
      <c r="B35" s="9"/>
      <c r="C35" s="9"/>
      <c r="D35" s="9"/>
      <c r="E35" s="19" t="s">
        <v>195</v>
      </c>
      <c r="F35" s="9"/>
      <c r="G35" s="9"/>
      <c r="H35" s="9"/>
    </row>
    <row r="36" spans="1:8" ht="30" customHeight="1" x14ac:dyDescent="0.25">
      <c r="A36" s="18" t="s">
        <v>41</v>
      </c>
      <c r="B36" s="22" t="s">
        <v>243</v>
      </c>
      <c r="C36" s="19"/>
      <c r="D36" s="19" t="s">
        <v>195</v>
      </c>
      <c r="E36" s="9"/>
      <c r="F36" s="9"/>
      <c r="G36" s="19" t="s">
        <v>195</v>
      </c>
      <c r="H36" s="22" t="s">
        <v>304</v>
      </c>
    </row>
    <row r="37" spans="1:8" ht="15" customHeight="1" x14ac:dyDescent="0.25">
      <c r="A37" s="18" t="s">
        <v>43</v>
      </c>
      <c r="B37" s="19"/>
      <c r="C37" s="19"/>
      <c r="D37" s="19"/>
      <c r="E37" s="9"/>
      <c r="F37" s="19" t="s">
        <v>243</v>
      </c>
      <c r="G37" s="19"/>
      <c r="H37" s="19"/>
    </row>
    <row r="38" spans="1:8" ht="30" customHeight="1" x14ac:dyDescent="0.25">
      <c r="A38" s="18" t="s">
        <v>44</v>
      </c>
      <c r="B38" s="9"/>
      <c r="C38" s="9"/>
      <c r="D38" s="9"/>
      <c r="E38" s="9"/>
      <c r="F38" s="9"/>
      <c r="G38" s="19" t="s">
        <v>195</v>
      </c>
      <c r="H38" s="19"/>
    </row>
    <row r="39" spans="1:8" ht="15" customHeight="1" x14ac:dyDescent="0.25">
      <c r="A39" s="18" t="s">
        <v>45</v>
      </c>
      <c r="B39" s="19"/>
      <c r="C39" s="19"/>
      <c r="D39" s="19"/>
      <c r="E39" s="9"/>
      <c r="F39" s="19"/>
      <c r="G39" s="9"/>
      <c r="H39" s="9"/>
    </row>
    <row r="40" spans="1:8" ht="15" customHeight="1" x14ac:dyDescent="0.25">
      <c r="A40" s="18" t="s">
        <v>52</v>
      </c>
      <c r="B40" s="19"/>
      <c r="C40" s="19"/>
      <c r="D40" s="19"/>
      <c r="E40" s="9"/>
      <c r="F40" s="19"/>
      <c r="G40" s="9"/>
      <c r="H40" s="9"/>
    </row>
    <row r="41" spans="1:8" ht="15" customHeight="1" x14ac:dyDescent="0.25">
      <c r="A41" s="4"/>
    </row>
    <row r="42" spans="1:8" ht="15" customHeight="1" x14ac:dyDescent="0.25">
      <c r="A42" s="17" t="s">
        <v>53</v>
      </c>
      <c r="B42" s="20">
        <v>1.099</v>
      </c>
      <c r="C42" s="20">
        <v>1.08</v>
      </c>
      <c r="D42" s="9">
        <v>1.089</v>
      </c>
      <c r="E42" s="9">
        <v>1.0960000000000001</v>
      </c>
      <c r="F42" s="9">
        <v>1.101</v>
      </c>
      <c r="G42" s="9">
        <v>1.085</v>
      </c>
      <c r="H42" s="25" t="s">
        <v>305</v>
      </c>
    </row>
    <row r="43" spans="1:8" ht="15" customHeight="1" x14ac:dyDescent="0.25">
      <c r="A43" s="17" t="s">
        <v>55</v>
      </c>
      <c r="B43" s="25">
        <v>1.026</v>
      </c>
      <c r="C43" s="25">
        <v>1.022</v>
      </c>
      <c r="D43" s="24">
        <v>1.018</v>
      </c>
      <c r="E43" s="9">
        <v>1.018</v>
      </c>
      <c r="F43" s="24">
        <v>1.024</v>
      </c>
      <c r="G43" s="9">
        <v>1.0229999999999999</v>
      </c>
      <c r="H43" s="20">
        <v>1.0269999999999999</v>
      </c>
    </row>
    <row r="44" spans="1:8" ht="15" customHeight="1" x14ac:dyDescent="0.25">
      <c r="A44" s="17" t="s">
        <v>57</v>
      </c>
      <c r="B44" s="25">
        <v>154</v>
      </c>
      <c r="C44" s="25">
        <v>155</v>
      </c>
      <c r="D44" s="24">
        <v>158</v>
      </c>
      <c r="E44" s="9">
        <v>153</v>
      </c>
      <c r="F44" s="24">
        <v>156</v>
      </c>
      <c r="G44" s="24">
        <v>155</v>
      </c>
      <c r="H44" s="25">
        <v>156</v>
      </c>
    </row>
    <row r="45" spans="1:8" ht="15" customHeight="1" x14ac:dyDescent="0.25">
      <c r="A45" s="17" t="s">
        <v>58</v>
      </c>
      <c r="B45" s="25">
        <v>1728</v>
      </c>
      <c r="C45" s="25" t="s">
        <v>297</v>
      </c>
      <c r="D45" s="24">
        <v>1728</v>
      </c>
      <c r="E45" s="24" t="s">
        <v>297</v>
      </c>
      <c r="F45" s="24">
        <v>1728</v>
      </c>
      <c r="G45" s="24" t="s">
        <v>297</v>
      </c>
      <c r="H45" s="25">
        <v>1728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6.42578125" customWidth="1"/>
    <col min="2" max="3" width="13.28515625" customWidth="1"/>
    <col min="4" max="4" width="10" customWidth="1"/>
    <col min="5" max="5" width="13.140625" customWidth="1"/>
    <col min="6" max="6" width="9.5703125" customWidth="1"/>
    <col min="7" max="7" width="12.85546875" customWidth="1"/>
    <col min="8" max="8" width="10.5703125" customWidth="1"/>
    <col min="9" max="9" width="11.5703125" customWidth="1"/>
    <col min="10" max="10" width="10.5703125" customWidth="1"/>
    <col min="11" max="11" width="10.28515625" customWidth="1"/>
    <col min="12" max="12" width="12.85546875" customWidth="1"/>
  </cols>
  <sheetData>
    <row r="1" spans="1:12" ht="23.25" customHeight="1" x14ac:dyDescent="0.35">
      <c r="A1" s="3" t="s">
        <v>299</v>
      </c>
      <c r="B1" s="3"/>
      <c r="C1" s="3"/>
      <c r="D1" s="4"/>
      <c r="E1" s="4"/>
      <c r="G1" s="4"/>
      <c r="I1" s="4"/>
      <c r="J1" s="4"/>
    </row>
    <row r="2" spans="1:12" ht="15" customHeight="1" x14ac:dyDescent="0.35">
      <c r="A2" s="3"/>
      <c r="B2" s="3"/>
      <c r="C2" s="3"/>
      <c r="D2" s="4"/>
      <c r="E2" s="4"/>
      <c r="G2" s="4"/>
      <c r="I2" s="4"/>
      <c r="J2" s="4"/>
    </row>
    <row r="3" spans="1:12" ht="23.25" customHeight="1" x14ac:dyDescent="0.25">
      <c r="A3" s="4"/>
      <c r="B3" s="52">
        <v>2000</v>
      </c>
      <c r="C3" s="52">
        <v>2001</v>
      </c>
      <c r="D3" s="53">
        <v>2005</v>
      </c>
      <c r="E3" s="53">
        <v>2006</v>
      </c>
      <c r="F3" s="53">
        <v>2007</v>
      </c>
      <c r="G3" s="53">
        <v>2008</v>
      </c>
      <c r="H3" s="53">
        <v>2009</v>
      </c>
      <c r="I3" s="53">
        <v>2010</v>
      </c>
      <c r="J3" s="53">
        <v>2013</v>
      </c>
      <c r="K3" s="52">
        <v>2015</v>
      </c>
      <c r="L3" s="52">
        <v>2016</v>
      </c>
    </row>
    <row r="4" spans="1:12" ht="15" customHeight="1" x14ac:dyDescent="0.25">
      <c r="A4" s="17" t="s">
        <v>14</v>
      </c>
      <c r="B4" s="54"/>
      <c r="C4" s="54"/>
      <c r="D4" s="54">
        <f>19/22.5</f>
        <v>0.84444444444444444</v>
      </c>
      <c r="E4" s="54">
        <f>4/12.5</f>
        <v>0.32</v>
      </c>
      <c r="F4" s="54"/>
      <c r="G4" s="54">
        <f>20/22</f>
        <v>0.90909090909090906</v>
      </c>
      <c r="H4" s="54">
        <f>34/37.5</f>
        <v>0.90666666666666662</v>
      </c>
      <c r="I4" s="54">
        <f>13/16</f>
        <v>0.8125</v>
      </c>
      <c r="J4" s="54">
        <f>10/12.25</f>
        <v>0.81632653061224492</v>
      </c>
      <c r="K4" s="56">
        <v>0.73599999999999999</v>
      </c>
      <c r="L4" s="56">
        <f>4.75/12.5</f>
        <v>0.38</v>
      </c>
    </row>
    <row r="5" spans="1:12" ht="15" customHeight="1" x14ac:dyDescent="0.25">
      <c r="A5" s="17" t="s">
        <v>16</v>
      </c>
      <c r="B5" s="55"/>
      <c r="C5" s="55"/>
      <c r="D5" s="55"/>
      <c r="E5" s="55"/>
      <c r="F5" s="54">
        <f>7/19.5</f>
        <v>0.35897435897435898</v>
      </c>
      <c r="G5" s="54"/>
      <c r="H5" s="54"/>
      <c r="I5" s="54"/>
      <c r="J5" s="54"/>
      <c r="K5" s="54"/>
      <c r="L5" s="54"/>
    </row>
    <row r="6" spans="1:12" ht="15" customHeight="1" x14ac:dyDescent="0.25">
      <c r="A6" s="17" t="s">
        <v>214</v>
      </c>
      <c r="B6" s="57"/>
      <c r="C6" s="57">
        <f>7/9.5</f>
        <v>0.73684210526315785</v>
      </c>
      <c r="D6" s="57"/>
      <c r="E6" s="54">
        <f>5/12.5</f>
        <v>0.4</v>
      </c>
      <c r="F6" s="54"/>
      <c r="G6" s="54"/>
      <c r="H6" s="54"/>
      <c r="I6" s="54"/>
      <c r="J6" s="54"/>
      <c r="K6" s="54"/>
      <c r="L6" s="54"/>
    </row>
    <row r="7" spans="1:12" ht="15" customHeight="1" x14ac:dyDescent="0.25">
      <c r="A7" s="17" t="s">
        <v>19</v>
      </c>
      <c r="B7" s="55"/>
      <c r="C7" s="55"/>
      <c r="D7" s="55"/>
      <c r="E7" s="55"/>
      <c r="F7" s="54">
        <f>8.5/19.5</f>
        <v>0.4358974358974359</v>
      </c>
      <c r="G7" s="54"/>
      <c r="H7" s="54"/>
      <c r="I7" s="54"/>
      <c r="J7" s="54"/>
      <c r="K7" s="54"/>
      <c r="L7" s="54"/>
    </row>
    <row r="8" spans="1:12" ht="15" customHeight="1" x14ac:dyDescent="0.25">
      <c r="A8" s="17" t="s">
        <v>24</v>
      </c>
      <c r="B8" s="54"/>
      <c r="C8" s="54">
        <f>2/9.5</f>
        <v>0.21052631578947367</v>
      </c>
      <c r="D8" s="54">
        <f t="shared" ref="D8:D9" si="0">1/22.5</f>
        <v>4.4444444444444446E-2</v>
      </c>
      <c r="E8" s="54"/>
      <c r="F8" s="54">
        <f>1/19.5</f>
        <v>5.128205128205128E-2</v>
      </c>
      <c r="G8" s="54"/>
      <c r="H8" s="54">
        <f>3/37.5</f>
        <v>0.08</v>
      </c>
      <c r="I8" s="54"/>
      <c r="J8" s="54"/>
      <c r="K8" s="56">
        <v>0.13200000000000001</v>
      </c>
      <c r="L8" s="56"/>
    </row>
    <row r="9" spans="1:12" ht="15" customHeight="1" x14ac:dyDescent="0.25">
      <c r="A9" s="17" t="s">
        <v>17</v>
      </c>
      <c r="B9" s="54"/>
      <c r="C9" s="54"/>
      <c r="D9" s="54">
        <f t="shared" si="0"/>
        <v>4.4444444444444446E-2</v>
      </c>
      <c r="E9" s="54"/>
      <c r="F9" s="54"/>
      <c r="G9" s="54"/>
      <c r="H9" s="54"/>
      <c r="I9" s="54"/>
      <c r="J9" s="54"/>
      <c r="K9" s="54"/>
      <c r="L9" s="54"/>
    </row>
    <row r="10" spans="1:12" ht="15" customHeight="1" x14ac:dyDescent="0.25">
      <c r="A10" s="17" t="s">
        <v>82</v>
      </c>
      <c r="B10" s="57"/>
      <c r="C10" s="57"/>
      <c r="D10" s="57"/>
      <c r="E10" s="54">
        <f>0.25/12.5</f>
        <v>0.02</v>
      </c>
      <c r="F10" s="54">
        <f t="shared" ref="F10:F11" si="1">1/19.5</f>
        <v>5.128205128205128E-2</v>
      </c>
      <c r="G10" s="54"/>
      <c r="H10" s="54"/>
      <c r="I10" s="54"/>
      <c r="J10" s="54"/>
      <c r="K10" s="54"/>
      <c r="L10" s="56">
        <f>4.75/12.5</f>
        <v>0.38</v>
      </c>
    </row>
    <row r="11" spans="1:12" ht="15" customHeight="1" x14ac:dyDescent="0.25">
      <c r="A11" s="17" t="s">
        <v>72</v>
      </c>
      <c r="B11" s="57"/>
      <c r="C11" s="57"/>
      <c r="D11" s="57"/>
      <c r="E11" s="54">
        <f>0.5/12.5</f>
        <v>0.04</v>
      </c>
      <c r="F11" s="54">
        <f t="shared" si="1"/>
        <v>5.128205128205128E-2</v>
      </c>
      <c r="G11" s="54"/>
      <c r="H11" s="54"/>
      <c r="I11" s="54">
        <f>1/16</f>
        <v>6.25E-2</v>
      </c>
      <c r="J11" s="54"/>
      <c r="K11" s="54"/>
      <c r="L11" s="54"/>
    </row>
    <row r="12" spans="1:12" ht="15" customHeight="1" x14ac:dyDescent="0.25">
      <c r="A12" s="17" t="s">
        <v>311</v>
      </c>
      <c r="B12" s="57"/>
      <c r="C12" s="57"/>
      <c r="D12" s="57"/>
      <c r="E12" s="54">
        <f t="shared" ref="E12:E13" si="2">1/12.5</f>
        <v>0.08</v>
      </c>
      <c r="F12" s="54"/>
      <c r="G12" s="54"/>
      <c r="H12" s="54"/>
      <c r="I12" s="54"/>
      <c r="J12" s="54"/>
      <c r="K12" s="54"/>
      <c r="L12" s="54"/>
    </row>
    <row r="13" spans="1:12" ht="15" customHeight="1" x14ac:dyDescent="0.25">
      <c r="A13" s="17" t="s">
        <v>38</v>
      </c>
      <c r="B13" s="57">
        <f>0.25/10.25</f>
        <v>2.4390243902439025E-2</v>
      </c>
      <c r="C13" s="57">
        <f>0.5/9.5</f>
        <v>5.2631578947368418E-2</v>
      </c>
      <c r="D13" s="57"/>
      <c r="E13" s="54">
        <f t="shared" si="2"/>
        <v>0.08</v>
      </c>
      <c r="F13" s="54">
        <f>1/19.5</f>
        <v>5.128205128205128E-2</v>
      </c>
      <c r="G13" s="54"/>
      <c r="H13" s="54"/>
      <c r="I13" s="54"/>
      <c r="J13" s="54">
        <f>0.5/12.25</f>
        <v>4.0816326530612242E-2</v>
      </c>
      <c r="K13" s="54"/>
      <c r="L13" s="54"/>
    </row>
    <row r="14" spans="1:12" ht="15" customHeight="1" x14ac:dyDescent="0.25">
      <c r="A14" s="17" t="s">
        <v>236</v>
      </c>
      <c r="B14" s="55"/>
      <c r="C14" s="55"/>
      <c r="D14" s="55"/>
      <c r="E14" s="55"/>
      <c r="F14" s="55"/>
      <c r="G14" s="55"/>
      <c r="H14" s="55"/>
      <c r="I14" s="54">
        <f>1/16</f>
        <v>6.25E-2</v>
      </c>
      <c r="J14" s="54"/>
      <c r="K14" s="54"/>
      <c r="L14" s="54">
        <f>1/12.5</f>
        <v>0.08</v>
      </c>
    </row>
    <row r="15" spans="1:12" ht="15" customHeight="1" x14ac:dyDescent="0.25">
      <c r="A15" s="17" t="s">
        <v>308</v>
      </c>
      <c r="B15" s="57"/>
      <c r="C15" s="57"/>
      <c r="D15" s="57"/>
      <c r="E15" s="54">
        <f>0.75/12.5</f>
        <v>0.06</v>
      </c>
      <c r="F15" s="54"/>
      <c r="G15" s="54"/>
      <c r="H15" s="54"/>
      <c r="I15" s="54"/>
      <c r="J15" s="54"/>
      <c r="K15" s="54"/>
      <c r="L15" s="54"/>
    </row>
    <row r="16" spans="1:12" ht="15" customHeight="1" x14ac:dyDescent="0.25">
      <c r="A16" s="17" t="s">
        <v>313</v>
      </c>
      <c r="B16" s="55"/>
      <c r="C16" s="55"/>
      <c r="D16" s="55"/>
      <c r="E16" s="55"/>
      <c r="F16" s="55"/>
      <c r="G16" s="55"/>
      <c r="H16" s="55"/>
      <c r="I16" s="55"/>
      <c r="J16" s="54">
        <f>0.5/12.25</f>
        <v>4.0816326530612242E-2</v>
      </c>
      <c r="K16" s="54"/>
      <c r="L16" s="54"/>
    </row>
    <row r="17" spans="1:12" ht="15" customHeight="1" x14ac:dyDescent="0.25">
      <c r="A17" s="17" t="s">
        <v>237</v>
      </c>
      <c r="B17" s="55"/>
      <c r="C17" s="55"/>
      <c r="D17" s="55"/>
      <c r="E17" s="55"/>
      <c r="F17" s="55"/>
      <c r="G17" s="55"/>
      <c r="H17" s="54">
        <f>0.5/37.5</f>
        <v>1.3333333333333334E-2</v>
      </c>
      <c r="I17" s="54"/>
      <c r="J17" s="54"/>
      <c r="K17" s="54"/>
      <c r="L17" s="54"/>
    </row>
    <row r="18" spans="1:12" ht="15" customHeight="1" x14ac:dyDescent="0.25">
      <c r="A18" s="17" t="s">
        <v>119</v>
      </c>
      <c r="B18" s="57">
        <f>0.5/10.25</f>
        <v>4.878048780487805E-2</v>
      </c>
      <c r="C18" s="55"/>
      <c r="D18" s="55"/>
      <c r="E18" s="55"/>
      <c r="F18" s="55"/>
      <c r="G18" s="55"/>
      <c r="H18" s="55"/>
      <c r="I18" s="54">
        <f>1/16</f>
        <v>6.25E-2</v>
      </c>
      <c r="J18" s="54">
        <f>0.75/12.25</f>
        <v>6.1224489795918366E-2</v>
      </c>
      <c r="K18" s="54"/>
      <c r="L18" s="54">
        <f>1/12.5</f>
        <v>0.08</v>
      </c>
    </row>
    <row r="19" spans="1:12" ht="15" customHeight="1" x14ac:dyDescent="0.25">
      <c r="A19" s="17" t="s">
        <v>128</v>
      </c>
      <c r="B19" s="54"/>
      <c r="C19" s="54"/>
      <c r="D19" s="54">
        <f>1/22.5</f>
        <v>4.4444444444444446E-2</v>
      </c>
      <c r="E19" s="54"/>
      <c r="F19" s="54"/>
      <c r="G19" s="54">
        <f>1/22</f>
        <v>4.5454545454545456E-2</v>
      </c>
      <c r="H19" s="54"/>
      <c r="I19" s="54"/>
      <c r="J19" s="54"/>
      <c r="K19" s="54"/>
      <c r="L19" s="54"/>
    </row>
    <row r="20" spans="1:12" ht="15" customHeight="1" x14ac:dyDescent="0.25">
      <c r="A20" s="17" t="s">
        <v>134</v>
      </c>
      <c r="B20" s="54"/>
      <c r="C20" s="54"/>
      <c r="D20" s="54">
        <f>0.5/22.5</f>
        <v>2.2222222222222223E-2</v>
      </c>
      <c r="E20" s="54"/>
      <c r="F20" s="54"/>
      <c r="G20" s="54"/>
      <c r="H20" s="54"/>
      <c r="I20" s="54"/>
      <c r="J20" s="54"/>
      <c r="K20" s="54"/>
      <c r="L20" s="54"/>
    </row>
    <row r="21" spans="1:12" ht="15" customHeight="1" x14ac:dyDescent="0.25">
      <c r="A21" s="17" t="s">
        <v>315</v>
      </c>
      <c r="B21" s="55"/>
      <c r="C21" s="55"/>
      <c r="D21" s="55"/>
      <c r="E21" s="55"/>
      <c r="F21" s="55"/>
      <c r="G21" s="54">
        <f>1/22</f>
        <v>4.5454545454545456E-2</v>
      </c>
      <c r="H21" s="54"/>
      <c r="I21" s="54"/>
      <c r="J21" s="54"/>
      <c r="K21" s="54"/>
      <c r="L21" s="54"/>
    </row>
    <row r="22" spans="1:12" ht="15" customHeight="1" x14ac:dyDescent="0.25">
      <c r="A22" s="17" t="s">
        <v>316</v>
      </c>
      <c r="B22" s="55"/>
      <c r="C22" s="55"/>
      <c r="D22" s="55"/>
      <c r="E22" s="55"/>
      <c r="F22" s="55"/>
      <c r="G22" s="55"/>
      <c r="H22" s="55"/>
      <c r="I22" s="55"/>
      <c r="J22" s="54">
        <f>0.5/12.25</f>
        <v>4.0816326530612242E-2</v>
      </c>
      <c r="K22" s="54"/>
      <c r="L22" s="54"/>
    </row>
    <row r="23" spans="1:12" ht="15" customHeight="1" x14ac:dyDescent="0.25">
      <c r="A23" s="48" t="s">
        <v>318</v>
      </c>
      <c r="B23" s="54">
        <f>7/10.25</f>
        <v>0.68292682926829273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</row>
    <row r="24" spans="1:12" ht="15" customHeight="1" x14ac:dyDescent="0.25">
      <c r="A24" s="48" t="s">
        <v>112</v>
      </c>
      <c r="B24" s="54">
        <f>2/10.25</f>
        <v>0.1951219512195122</v>
      </c>
      <c r="C24" s="55"/>
      <c r="D24" s="55"/>
      <c r="E24" s="55"/>
      <c r="F24" s="55"/>
      <c r="G24" s="54"/>
      <c r="H24" s="54"/>
      <c r="I24" s="54"/>
      <c r="J24" s="54"/>
      <c r="K24" s="54"/>
      <c r="L24" s="54"/>
    </row>
    <row r="25" spans="1:12" ht="15" customHeight="1" x14ac:dyDescent="0.25">
      <c r="A25" s="48" t="s">
        <v>34</v>
      </c>
      <c r="B25" s="54">
        <f>0.5/10.25</f>
        <v>4.878048780487805E-2</v>
      </c>
      <c r="C25" s="55"/>
      <c r="D25" s="55"/>
      <c r="E25" s="55"/>
      <c r="F25" s="55"/>
      <c r="G25" s="55"/>
      <c r="H25" s="55"/>
      <c r="I25" s="55"/>
      <c r="J25" s="54"/>
      <c r="K25" s="54"/>
      <c r="L25" s="54"/>
    </row>
    <row r="26" spans="1:12" ht="15" customHeight="1" x14ac:dyDescent="0.25">
      <c r="A26" s="48" t="s">
        <v>164</v>
      </c>
      <c r="B26" s="54"/>
      <c r="C26" s="55"/>
      <c r="D26" s="55"/>
      <c r="E26" s="55"/>
      <c r="F26" s="55"/>
      <c r="G26" s="55"/>
      <c r="H26" s="55"/>
      <c r="I26" s="55"/>
      <c r="J26" s="54"/>
      <c r="K26" s="56">
        <v>0.13200000000000001</v>
      </c>
      <c r="L26" s="56">
        <f>1/12.5</f>
        <v>0.08</v>
      </c>
    </row>
    <row r="27" spans="1:12" ht="15" customHeight="1" x14ac:dyDescent="0.25">
      <c r="A27" s="27"/>
      <c r="B27" s="58"/>
      <c r="C27" s="58"/>
      <c r="D27" s="58"/>
      <c r="E27" s="58"/>
      <c r="F27" s="58"/>
      <c r="G27" s="58"/>
      <c r="H27" s="58"/>
      <c r="I27" s="58"/>
      <c r="J27" s="61"/>
      <c r="K27" s="61"/>
      <c r="L27" s="61"/>
    </row>
    <row r="28" spans="1:12" ht="15" customHeight="1" x14ac:dyDescent="0.25">
      <c r="A28" s="17" t="s">
        <v>28</v>
      </c>
      <c r="B28" s="9"/>
      <c r="C28" s="9"/>
      <c r="D28" s="9" t="s">
        <v>205</v>
      </c>
      <c r="E28" s="9"/>
      <c r="F28" s="9" t="s">
        <v>205</v>
      </c>
      <c r="G28" s="9"/>
      <c r="H28" s="9"/>
      <c r="I28" s="9"/>
      <c r="J28" s="9"/>
      <c r="K28" s="9"/>
      <c r="L28" s="9"/>
    </row>
    <row r="29" spans="1:12" ht="30" customHeight="1" x14ac:dyDescent="0.25">
      <c r="A29" s="18" t="s">
        <v>31</v>
      </c>
      <c r="B29" s="20" t="s">
        <v>98</v>
      </c>
      <c r="C29" s="20" t="s">
        <v>137</v>
      </c>
      <c r="D29" s="9" t="s">
        <v>205</v>
      </c>
      <c r="E29" s="19" t="s">
        <v>321</v>
      </c>
      <c r="F29" s="9" t="s">
        <v>205</v>
      </c>
      <c r="G29" s="9" t="s">
        <v>241</v>
      </c>
      <c r="H29" s="9" t="s">
        <v>241</v>
      </c>
      <c r="I29" s="9"/>
      <c r="J29" s="9" t="s">
        <v>223</v>
      </c>
      <c r="K29" s="20" t="s">
        <v>98</v>
      </c>
      <c r="L29" s="20"/>
    </row>
    <row r="30" spans="1:12" ht="15" customHeight="1" x14ac:dyDescent="0.25">
      <c r="A30" s="18" t="s">
        <v>39</v>
      </c>
      <c r="B30" s="20"/>
      <c r="C30" s="9"/>
      <c r="D30" s="9"/>
      <c r="E30" s="19"/>
      <c r="F30" s="9"/>
      <c r="G30" s="9"/>
      <c r="H30" s="9"/>
      <c r="I30" s="9"/>
      <c r="J30" s="9"/>
      <c r="K30" s="9"/>
      <c r="L30" s="9"/>
    </row>
    <row r="31" spans="1:12" ht="30" customHeight="1" x14ac:dyDescent="0.25">
      <c r="A31" s="18" t="s">
        <v>40</v>
      </c>
      <c r="B31" s="20" t="s">
        <v>329</v>
      </c>
      <c r="C31" s="9"/>
      <c r="D31" s="9"/>
      <c r="E31" s="19"/>
      <c r="F31" s="9"/>
      <c r="G31" s="9" t="s">
        <v>196</v>
      </c>
      <c r="H31" s="9" t="s">
        <v>242</v>
      </c>
      <c r="I31" s="19" t="s">
        <v>325</v>
      </c>
      <c r="J31" s="9"/>
      <c r="K31" s="9"/>
      <c r="L31" s="46" t="s">
        <v>330</v>
      </c>
    </row>
    <row r="32" spans="1:12" ht="15" customHeight="1" x14ac:dyDescent="0.25">
      <c r="A32" s="18" t="s">
        <v>41</v>
      </c>
      <c r="B32" s="9"/>
      <c r="C32" s="20" t="s">
        <v>137</v>
      </c>
      <c r="D32" s="9" t="s">
        <v>205</v>
      </c>
      <c r="E32" s="19"/>
      <c r="F32" s="9"/>
      <c r="G32" s="9"/>
      <c r="H32" s="9"/>
      <c r="I32" s="9"/>
      <c r="J32" s="9"/>
      <c r="K32" s="20" t="s">
        <v>205</v>
      </c>
      <c r="L32" s="20"/>
    </row>
    <row r="33" spans="1:12" ht="45" customHeight="1" x14ac:dyDescent="0.25">
      <c r="A33" s="18" t="s">
        <v>43</v>
      </c>
      <c r="B33" s="9"/>
      <c r="C33" s="9"/>
      <c r="D33" s="9"/>
      <c r="E33" s="19" t="s">
        <v>331</v>
      </c>
      <c r="F33" s="9"/>
      <c r="G33" s="9" t="s">
        <v>206</v>
      </c>
      <c r="H33" s="9" t="s">
        <v>205</v>
      </c>
      <c r="I33" s="19" t="s">
        <v>325</v>
      </c>
      <c r="J33" s="9"/>
      <c r="K33" s="46" t="s">
        <v>332</v>
      </c>
      <c r="L33" s="46" t="s">
        <v>330</v>
      </c>
    </row>
    <row r="34" spans="1:12" ht="30" customHeight="1" x14ac:dyDescent="0.25">
      <c r="A34" s="18" t="s">
        <v>44</v>
      </c>
      <c r="B34" s="20" t="s">
        <v>206</v>
      </c>
      <c r="C34" s="9"/>
      <c r="D34" s="9" t="s">
        <v>205</v>
      </c>
      <c r="E34" s="19"/>
      <c r="F34" s="9"/>
      <c r="G34" s="9"/>
      <c r="H34" s="9" t="s">
        <v>205</v>
      </c>
      <c r="I34" s="9"/>
      <c r="J34" s="19" t="s">
        <v>333</v>
      </c>
      <c r="K34" s="46" t="s">
        <v>205</v>
      </c>
      <c r="L34" s="46"/>
    </row>
    <row r="35" spans="1:12" ht="30" customHeight="1" x14ac:dyDescent="0.25">
      <c r="A35" s="18" t="s">
        <v>45</v>
      </c>
      <c r="B35" s="9"/>
      <c r="C35" s="20" t="s">
        <v>137</v>
      </c>
      <c r="D35" s="9" t="s">
        <v>205</v>
      </c>
      <c r="E35" s="19"/>
      <c r="F35" s="9" t="s">
        <v>205</v>
      </c>
      <c r="G35" s="19" t="s">
        <v>335</v>
      </c>
      <c r="H35" s="19" t="s">
        <v>336</v>
      </c>
      <c r="I35" s="19" t="s">
        <v>325</v>
      </c>
      <c r="J35" s="9"/>
      <c r="K35" s="46" t="s">
        <v>337</v>
      </c>
      <c r="L35" s="46" t="s">
        <v>338</v>
      </c>
    </row>
    <row r="36" spans="1:12" ht="30" customHeight="1" x14ac:dyDescent="0.25">
      <c r="A36" s="18" t="s">
        <v>52</v>
      </c>
      <c r="B36" s="20" t="s">
        <v>206</v>
      </c>
      <c r="C36" s="20" t="s">
        <v>138</v>
      </c>
      <c r="D36" s="9" t="s">
        <v>205</v>
      </c>
      <c r="E36" s="19" t="s">
        <v>321</v>
      </c>
      <c r="F36" s="9" t="s">
        <v>205</v>
      </c>
      <c r="G36" s="9"/>
      <c r="H36" s="9"/>
      <c r="I36" s="19" t="s">
        <v>325</v>
      </c>
      <c r="J36" s="19" t="s">
        <v>333</v>
      </c>
      <c r="K36" s="46" t="s">
        <v>337</v>
      </c>
      <c r="L36" s="46" t="s">
        <v>338</v>
      </c>
    </row>
    <row r="37" spans="1:12" ht="15" customHeight="1" x14ac:dyDescent="0.25">
      <c r="A37" s="58"/>
      <c r="B37" s="4"/>
      <c r="C37" s="4"/>
      <c r="D37" s="4"/>
      <c r="E37" s="4"/>
      <c r="G37" s="4"/>
      <c r="I37" s="4"/>
      <c r="J37" s="4"/>
      <c r="K37" s="4"/>
      <c r="L37" s="4"/>
    </row>
    <row r="38" spans="1:12" ht="15" customHeight="1" x14ac:dyDescent="0.25">
      <c r="A38" s="17" t="s">
        <v>53</v>
      </c>
      <c r="B38" s="20">
        <v>1.0529999999999999</v>
      </c>
      <c r="C38" s="20">
        <v>1.0529999999999999</v>
      </c>
      <c r="D38" s="9">
        <v>1.0509999999999999</v>
      </c>
      <c r="E38" s="9">
        <v>1.06</v>
      </c>
      <c r="F38" s="9">
        <v>1.054</v>
      </c>
      <c r="G38" s="9">
        <v>1.0509999999999999</v>
      </c>
      <c r="H38" s="9">
        <v>1.05</v>
      </c>
      <c r="I38" s="9">
        <v>1.06</v>
      </c>
      <c r="J38" s="9">
        <v>1.052</v>
      </c>
      <c r="K38" s="20">
        <v>1.054</v>
      </c>
      <c r="L38" s="20">
        <v>1.0569999999999999</v>
      </c>
    </row>
    <row r="39" spans="1:12" ht="15" customHeight="1" x14ac:dyDescent="0.25">
      <c r="A39" s="17" t="s">
        <v>55</v>
      </c>
      <c r="B39" s="20">
        <v>1.008</v>
      </c>
      <c r="C39" s="20">
        <v>1.014</v>
      </c>
      <c r="D39" s="9">
        <v>1.012</v>
      </c>
      <c r="E39" s="9">
        <v>1.014</v>
      </c>
      <c r="F39" s="9">
        <v>1.012</v>
      </c>
      <c r="G39" s="9">
        <v>1.012</v>
      </c>
      <c r="H39" s="9">
        <v>1.0109999999999999</v>
      </c>
      <c r="I39" s="9">
        <v>1.0129999999999999</v>
      </c>
      <c r="J39" s="9">
        <v>1.0109999999999999</v>
      </c>
      <c r="K39" s="20">
        <v>1.01</v>
      </c>
      <c r="L39" s="20">
        <v>1.0129999999999999</v>
      </c>
    </row>
    <row r="40" spans="1:12" ht="15" customHeight="1" x14ac:dyDescent="0.25">
      <c r="A40" s="17" t="s">
        <v>57</v>
      </c>
      <c r="B40" s="20">
        <v>153</v>
      </c>
      <c r="C40" s="20">
        <v>150</v>
      </c>
      <c r="D40" s="9">
        <v>158</v>
      </c>
      <c r="E40" s="9">
        <v>152</v>
      </c>
      <c r="F40" s="9">
        <v>153</v>
      </c>
      <c r="G40" s="9">
        <v>152</v>
      </c>
      <c r="H40" s="9">
        <v>153</v>
      </c>
      <c r="I40" s="9">
        <v>153</v>
      </c>
      <c r="J40" s="9">
        <v>154</v>
      </c>
      <c r="K40" s="20">
        <v>148</v>
      </c>
      <c r="L40" s="20">
        <v>153</v>
      </c>
    </row>
    <row r="41" spans="1:12" ht="15" customHeight="1" x14ac:dyDescent="0.25">
      <c r="A41" s="17" t="s">
        <v>58</v>
      </c>
      <c r="B41" s="20">
        <v>1056</v>
      </c>
      <c r="C41" s="20">
        <v>1056</v>
      </c>
      <c r="D41" s="9">
        <v>1056</v>
      </c>
      <c r="E41" s="24" t="s">
        <v>252</v>
      </c>
      <c r="F41" s="9">
        <v>1056</v>
      </c>
      <c r="G41" s="24" t="s">
        <v>252</v>
      </c>
      <c r="H41" s="24" t="s">
        <v>252</v>
      </c>
      <c r="I41" s="9">
        <v>1056</v>
      </c>
      <c r="J41" s="24" t="s">
        <v>199</v>
      </c>
      <c r="K41" s="25" t="s">
        <v>201</v>
      </c>
      <c r="L41" s="25" t="s">
        <v>199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6.85546875" customWidth="1"/>
    <col min="2" max="3" width="13" customWidth="1"/>
    <col min="4" max="4" width="12" customWidth="1"/>
    <col min="5" max="7" width="11.28515625" customWidth="1"/>
    <col min="8" max="8" width="7.5703125" customWidth="1"/>
  </cols>
  <sheetData>
    <row r="1" spans="1:7" ht="23.25" customHeight="1" x14ac:dyDescent="0.35">
      <c r="A1" s="3" t="s">
        <v>300</v>
      </c>
      <c r="B1" s="3"/>
      <c r="C1" s="3"/>
      <c r="D1" s="4"/>
      <c r="E1" s="4"/>
      <c r="F1" s="4"/>
    </row>
    <row r="2" spans="1:7" ht="23.25" customHeight="1" x14ac:dyDescent="0.35">
      <c r="A2" s="3"/>
      <c r="B2" s="3"/>
      <c r="C2" s="3"/>
      <c r="D2" s="4"/>
      <c r="E2" s="4"/>
      <c r="F2" s="4"/>
    </row>
    <row r="3" spans="1:7" ht="23.25" customHeight="1" x14ac:dyDescent="0.25">
      <c r="A3" s="4"/>
      <c r="B3" s="52">
        <v>2002</v>
      </c>
      <c r="C3" s="52">
        <v>2003</v>
      </c>
      <c r="D3" s="53">
        <v>2004</v>
      </c>
      <c r="E3" s="53">
        <v>2011</v>
      </c>
      <c r="F3" s="53">
        <v>2012</v>
      </c>
      <c r="G3" s="52">
        <v>2016</v>
      </c>
    </row>
    <row r="4" spans="1:7" ht="15" customHeight="1" x14ac:dyDescent="0.25">
      <c r="A4" s="17" t="s">
        <v>214</v>
      </c>
      <c r="B4" s="54">
        <f>4/12.1625</f>
        <v>0.32887975334018499</v>
      </c>
      <c r="C4" s="54"/>
      <c r="D4" s="54">
        <f>8/12.125</f>
        <v>0.65979381443298968</v>
      </c>
      <c r="E4" s="54"/>
      <c r="F4" s="54"/>
      <c r="G4" s="54"/>
    </row>
    <row r="5" spans="1:7" ht="15" customHeight="1" x14ac:dyDescent="0.25">
      <c r="A5" s="17" t="s">
        <v>123</v>
      </c>
      <c r="B5" s="54"/>
      <c r="C5" s="54"/>
      <c r="D5" s="54">
        <f t="shared" ref="D5:D6" si="0">0.75/12.125</f>
        <v>6.1855670103092786E-2</v>
      </c>
      <c r="E5" s="55"/>
      <c r="F5" s="54"/>
      <c r="G5" s="54"/>
    </row>
    <row r="6" spans="1:7" ht="15" customHeight="1" x14ac:dyDescent="0.25">
      <c r="A6" s="17" t="s">
        <v>122</v>
      </c>
      <c r="B6" s="54">
        <f>0.6/12.1625</f>
        <v>4.9331963001027747E-2</v>
      </c>
      <c r="C6" s="54"/>
      <c r="D6" s="54">
        <f t="shared" si="0"/>
        <v>6.1855670103092786E-2</v>
      </c>
      <c r="E6" s="54"/>
      <c r="F6" s="54"/>
      <c r="G6" s="54"/>
    </row>
    <row r="7" spans="1:7" ht="15" customHeight="1" x14ac:dyDescent="0.25">
      <c r="A7" s="17" t="s">
        <v>17</v>
      </c>
      <c r="B7" s="54"/>
      <c r="C7" s="54"/>
      <c r="D7" s="54">
        <f t="shared" ref="D7:D11" si="1">0.5/12.125</f>
        <v>4.1237113402061855E-2</v>
      </c>
      <c r="E7" s="55"/>
      <c r="F7" s="54"/>
      <c r="G7" s="54">
        <f>0.75/24</f>
        <v>3.125E-2</v>
      </c>
    </row>
    <row r="8" spans="1:7" ht="15" customHeight="1" x14ac:dyDescent="0.25">
      <c r="A8" s="17" t="s">
        <v>112</v>
      </c>
      <c r="B8" s="54">
        <f>5/12.1625</f>
        <v>0.41109969167523125</v>
      </c>
      <c r="C8" s="54"/>
      <c r="D8" s="54">
        <f t="shared" si="1"/>
        <v>4.1237113402061855E-2</v>
      </c>
      <c r="E8" s="54">
        <f>13.36/15.76</f>
        <v>0.84771573604060912</v>
      </c>
      <c r="F8" s="54">
        <f>12.25/15.437</f>
        <v>0.79354796916499326</v>
      </c>
      <c r="G8" s="54">
        <f>8.5/24</f>
        <v>0.35416666666666669</v>
      </c>
    </row>
    <row r="9" spans="1:7" ht="15" customHeight="1" x14ac:dyDescent="0.25">
      <c r="A9" s="17" t="s">
        <v>38</v>
      </c>
      <c r="B9" s="54">
        <f>1/12.1625</f>
        <v>8.2219938335046247E-2</v>
      </c>
      <c r="C9" s="54">
        <f>0.5/12.25</f>
        <v>4.0816326530612242E-2</v>
      </c>
      <c r="D9" s="54">
        <f t="shared" si="1"/>
        <v>4.1237113402061855E-2</v>
      </c>
      <c r="E9" s="54"/>
      <c r="F9" s="54"/>
      <c r="G9" s="54">
        <f>0.75/24</f>
        <v>3.125E-2</v>
      </c>
    </row>
    <row r="10" spans="1:7" ht="15" customHeight="1" x14ac:dyDescent="0.25">
      <c r="A10" s="17" t="s">
        <v>72</v>
      </c>
      <c r="B10" s="54">
        <f>0.5/12.1625</f>
        <v>4.1109969167523124E-2</v>
      </c>
      <c r="C10" s="54"/>
      <c r="D10" s="54">
        <f t="shared" si="1"/>
        <v>4.1237113402061855E-2</v>
      </c>
      <c r="E10" s="54"/>
      <c r="F10" s="54"/>
      <c r="G10" s="54"/>
    </row>
    <row r="11" spans="1:7" ht="15" customHeight="1" x14ac:dyDescent="0.25">
      <c r="A11" s="17" t="s">
        <v>308</v>
      </c>
      <c r="B11" s="54">
        <f>1/12.1625</f>
        <v>8.2219938335046247E-2</v>
      </c>
      <c r="C11" s="54"/>
      <c r="D11" s="54">
        <f t="shared" si="1"/>
        <v>4.1237113402061855E-2</v>
      </c>
      <c r="E11" s="54"/>
      <c r="F11" s="54"/>
      <c r="G11" s="54">
        <f>0.5/24</f>
        <v>2.0833333333333332E-2</v>
      </c>
    </row>
    <row r="12" spans="1:7" ht="15" customHeight="1" x14ac:dyDescent="0.25">
      <c r="A12" s="17" t="s">
        <v>250</v>
      </c>
      <c r="B12" s="54">
        <f>0.0625/12.1625</f>
        <v>5.1387461459403904E-3</v>
      </c>
      <c r="C12" s="54"/>
      <c r="D12" s="54">
        <f>0.125/12.125</f>
        <v>1.0309278350515464E-2</v>
      </c>
      <c r="E12" s="54"/>
      <c r="F12" s="54"/>
      <c r="G12" s="54"/>
    </row>
    <row r="13" spans="1:7" ht="15" customHeight="1" x14ac:dyDescent="0.25">
      <c r="A13" s="17" t="s">
        <v>128</v>
      </c>
      <c r="B13" s="57"/>
      <c r="C13" s="57"/>
      <c r="D13" s="57"/>
      <c r="E13" s="54">
        <f>1.09/15.76</f>
        <v>6.9162436548223349E-2</v>
      </c>
      <c r="F13" s="54">
        <f>1/15.437</f>
        <v>6.4779426054285161E-2</v>
      </c>
      <c r="G13" s="54">
        <f>1/24</f>
        <v>4.1666666666666664E-2</v>
      </c>
    </row>
    <row r="14" spans="1:7" ht="15" customHeight="1" x14ac:dyDescent="0.25">
      <c r="A14" s="17" t="s">
        <v>165</v>
      </c>
      <c r="B14" s="55"/>
      <c r="C14" s="55"/>
      <c r="D14" s="55"/>
      <c r="E14" s="54">
        <f t="shared" ref="E14:E15" si="2">0.55/15.76</f>
        <v>3.4898477157360407E-2</v>
      </c>
      <c r="F14" s="54">
        <f t="shared" ref="F14:F15" si="3">0.5/15.437</f>
        <v>3.238971302714258E-2</v>
      </c>
      <c r="G14" s="54"/>
    </row>
    <row r="15" spans="1:7" ht="15" customHeight="1" x14ac:dyDescent="0.25">
      <c r="A15" s="17" t="s">
        <v>164</v>
      </c>
      <c r="B15" s="57"/>
      <c r="C15" s="59">
        <f>0.75/12.25</f>
        <v>6.1224489795918366E-2</v>
      </c>
      <c r="D15" s="57"/>
      <c r="E15" s="54">
        <f t="shared" si="2"/>
        <v>3.4898477157360407E-2</v>
      </c>
      <c r="F15" s="54">
        <f t="shared" si="3"/>
        <v>3.238971302714258E-2</v>
      </c>
      <c r="G15" s="54">
        <f>1/24</f>
        <v>4.1666666666666664E-2</v>
      </c>
    </row>
    <row r="16" spans="1:7" ht="15" customHeight="1" x14ac:dyDescent="0.25">
      <c r="A16" s="17" t="s">
        <v>153</v>
      </c>
      <c r="B16" s="55"/>
      <c r="C16" s="59"/>
      <c r="D16" s="55"/>
      <c r="E16" s="54">
        <f>0.21/15.76</f>
        <v>1.3324873096446701E-2</v>
      </c>
      <c r="F16" s="54">
        <f>0.187/15.437</f>
        <v>1.2113752672151324E-2</v>
      </c>
      <c r="G16" s="54"/>
    </row>
    <row r="17" spans="1:7" ht="15" customHeight="1" x14ac:dyDescent="0.25">
      <c r="A17" s="17" t="s">
        <v>24</v>
      </c>
      <c r="B17" s="55"/>
      <c r="C17" s="59">
        <f>1/12.25</f>
        <v>8.1632653061224483E-2</v>
      </c>
      <c r="D17" s="55"/>
      <c r="E17" s="55"/>
      <c r="F17" s="54">
        <f>1/15.437</f>
        <v>6.4779426054285161E-2</v>
      </c>
      <c r="G17" s="54"/>
    </row>
    <row r="18" spans="1:7" ht="15" customHeight="1" x14ac:dyDescent="0.25">
      <c r="A18" s="48" t="s">
        <v>314</v>
      </c>
      <c r="B18" s="57"/>
      <c r="C18" s="59">
        <f>9/12.25</f>
        <v>0.73469387755102045</v>
      </c>
      <c r="D18" s="57"/>
      <c r="E18" s="54">
        <f>0.55/15.76</f>
        <v>3.4898477157360407E-2</v>
      </c>
      <c r="F18" s="54">
        <f>0.5/15.437</f>
        <v>3.238971302714258E-2</v>
      </c>
      <c r="G18" s="54"/>
    </row>
    <row r="19" spans="1:7" ht="15" customHeight="1" x14ac:dyDescent="0.25">
      <c r="A19" s="48" t="s">
        <v>21</v>
      </c>
      <c r="B19" s="55"/>
      <c r="C19" s="59">
        <f t="shared" ref="C19:C20" si="4">0.5/12.25</f>
        <v>4.0816326530612242E-2</v>
      </c>
      <c r="D19" s="55"/>
      <c r="E19" s="54">
        <f>0.21/15.76</f>
        <v>1.3324873096446701E-2</v>
      </c>
      <c r="F19" s="54">
        <f>0.187/15.437</f>
        <v>1.2113752672151324E-2</v>
      </c>
      <c r="G19" s="54"/>
    </row>
    <row r="20" spans="1:7" ht="15" customHeight="1" x14ac:dyDescent="0.25">
      <c r="A20" s="48" t="s">
        <v>167</v>
      </c>
      <c r="B20" s="55"/>
      <c r="C20" s="59">
        <f t="shared" si="4"/>
        <v>4.0816326530612242E-2</v>
      </c>
      <c r="D20" s="55"/>
      <c r="E20" s="55"/>
      <c r="F20" s="54">
        <f>1/15.437</f>
        <v>6.4779426054285161E-2</v>
      </c>
      <c r="G20" s="54"/>
    </row>
    <row r="21" spans="1:7" ht="15" customHeight="1" x14ac:dyDescent="0.25">
      <c r="A21" s="48" t="s">
        <v>317</v>
      </c>
      <c r="B21" s="55"/>
      <c r="C21" s="59"/>
      <c r="D21" s="55"/>
      <c r="E21" s="55"/>
      <c r="F21" s="54"/>
      <c r="G21" s="54">
        <f>9.5/24</f>
        <v>0.39583333333333331</v>
      </c>
    </row>
    <row r="22" spans="1:7" ht="15" customHeight="1" x14ac:dyDescent="0.25">
      <c r="A22" s="48" t="s">
        <v>271</v>
      </c>
      <c r="B22" s="55"/>
      <c r="C22" s="59"/>
      <c r="D22" s="55"/>
      <c r="E22" s="55"/>
      <c r="F22" s="54"/>
      <c r="G22" s="54">
        <f t="shared" ref="G22:G23" si="5">1/24</f>
        <v>4.1666666666666664E-2</v>
      </c>
    </row>
    <row r="23" spans="1:7" ht="15" customHeight="1" x14ac:dyDescent="0.25">
      <c r="A23" s="48" t="s">
        <v>74</v>
      </c>
      <c r="B23" s="55"/>
      <c r="C23" s="59"/>
      <c r="D23" s="55"/>
      <c r="E23" s="55"/>
      <c r="F23" s="54"/>
      <c r="G23" s="54">
        <f t="shared" si="5"/>
        <v>4.1666666666666664E-2</v>
      </c>
    </row>
    <row r="24" spans="1:7" ht="15" customHeight="1" x14ac:dyDescent="0.25">
      <c r="A24" s="27"/>
      <c r="B24" s="58"/>
      <c r="C24" s="58"/>
      <c r="D24" s="58"/>
      <c r="E24" s="58"/>
      <c r="F24" s="58"/>
      <c r="G24" s="58"/>
    </row>
    <row r="25" spans="1:7" ht="15" customHeight="1" x14ac:dyDescent="0.25">
      <c r="A25" s="17" t="s">
        <v>28</v>
      </c>
      <c r="B25" s="9"/>
      <c r="C25" s="9"/>
      <c r="D25" s="9"/>
      <c r="E25" s="9"/>
      <c r="F25" s="9"/>
      <c r="G25" s="20" t="s">
        <v>319</v>
      </c>
    </row>
    <row r="26" spans="1:7" ht="15" customHeight="1" x14ac:dyDescent="0.25">
      <c r="A26" s="18" t="s">
        <v>31</v>
      </c>
      <c r="B26" s="20" t="s">
        <v>206</v>
      </c>
      <c r="C26" s="9"/>
      <c r="D26" s="9" t="s">
        <v>138</v>
      </c>
      <c r="E26" s="19" t="s">
        <v>142</v>
      </c>
      <c r="F26" s="9" t="s">
        <v>142</v>
      </c>
      <c r="G26" s="9"/>
    </row>
    <row r="27" spans="1:7" ht="15" customHeight="1" x14ac:dyDescent="0.25">
      <c r="A27" s="18" t="s">
        <v>39</v>
      </c>
      <c r="B27" s="9"/>
      <c r="C27" s="20" t="s">
        <v>320</v>
      </c>
      <c r="D27" s="9"/>
      <c r="E27" s="19"/>
      <c r="F27" s="9"/>
      <c r="G27" s="9"/>
    </row>
    <row r="28" spans="1:7" ht="15" customHeight="1" x14ac:dyDescent="0.25">
      <c r="A28" s="18" t="s">
        <v>40</v>
      </c>
      <c r="B28" s="9"/>
      <c r="C28" s="9"/>
      <c r="D28" s="9"/>
      <c r="E28" s="19"/>
      <c r="F28" s="9"/>
      <c r="G28" s="9"/>
    </row>
    <row r="29" spans="1:7" ht="15" customHeight="1" x14ac:dyDescent="0.25">
      <c r="A29" s="38" t="s">
        <v>85</v>
      </c>
      <c r="B29" s="9"/>
      <c r="C29" s="9"/>
      <c r="D29" s="9"/>
      <c r="E29" s="19"/>
      <c r="F29" s="9"/>
      <c r="G29" s="22" t="s">
        <v>267</v>
      </c>
    </row>
    <row r="30" spans="1:7" ht="15" customHeight="1" x14ac:dyDescent="0.25">
      <c r="A30" s="18" t="s">
        <v>41</v>
      </c>
      <c r="B30" s="9"/>
      <c r="C30" s="9"/>
      <c r="D30" s="9"/>
      <c r="E30" s="19"/>
      <c r="F30" s="9"/>
      <c r="G30" s="9"/>
    </row>
    <row r="31" spans="1:7" ht="30" customHeight="1" x14ac:dyDescent="0.25">
      <c r="A31" s="18" t="s">
        <v>43</v>
      </c>
      <c r="B31" s="22" t="s">
        <v>321</v>
      </c>
      <c r="C31" s="22" t="s">
        <v>322</v>
      </c>
      <c r="D31" s="19" t="s">
        <v>321</v>
      </c>
      <c r="E31" s="19" t="s">
        <v>323</v>
      </c>
      <c r="F31" s="19" t="s">
        <v>323</v>
      </c>
      <c r="G31" s="19"/>
    </row>
    <row r="32" spans="1:7" ht="15" customHeight="1" x14ac:dyDescent="0.25">
      <c r="A32" s="18" t="s">
        <v>44</v>
      </c>
      <c r="B32" s="9"/>
      <c r="C32" s="9"/>
      <c r="D32" s="9"/>
      <c r="E32" s="19"/>
      <c r="F32" s="19"/>
      <c r="G32" s="19"/>
    </row>
    <row r="33" spans="1:7" ht="30" customHeight="1" x14ac:dyDescent="0.25">
      <c r="A33" s="18" t="s">
        <v>45</v>
      </c>
      <c r="B33" s="9"/>
      <c r="C33" s="22" t="s">
        <v>322</v>
      </c>
      <c r="D33" s="9"/>
      <c r="E33" s="19" t="s">
        <v>323</v>
      </c>
      <c r="F33" s="19" t="s">
        <v>324</v>
      </c>
      <c r="G33" s="22" t="s">
        <v>267</v>
      </c>
    </row>
    <row r="34" spans="1:7" ht="30" customHeight="1" x14ac:dyDescent="0.25">
      <c r="A34" s="18" t="s">
        <v>52</v>
      </c>
      <c r="B34" s="22" t="s">
        <v>321</v>
      </c>
      <c r="C34" s="22" t="s">
        <v>325</v>
      </c>
      <c r="D34" s="19" t="s">
        <v>321</v>
      </c>
      <c r="E34" s="19"/>
      <c r="F34" s="9"/>
      <c r="G34" s="22" t="s">
        <v>267</v>
      </c>
    </row>
    <row r="35" spans="1:7" ht="15" customHeight="1" x14ac:dyDescent="0.25">
      <c r="A35" s="58"/>
      <c r="B35" s="4"/>
      <c r="C35" s="4"/>
      <c r="D35" s="4"/>
      <c r="E35" s="4"/>
      <c r="F35" s="4"/>
      <c r="G35" s="4"/>
    </row>
    <row r="36" spans="1:7" ht="15" customHeight="1" x14ac:dyDescent="0.25">
      <c r="A36" s="17" t="s">
        <v>53</v>
      </c>
      <c r="B36" s="20">
        <v>1.06</v>
      </c>
      <c r="C36" s="20">
        <v>1.0589999999999999</v>
      </c>
      <c r="D36" s="9">
        <v>1.06</v>
      </c>
      <c r="E36" s="9">
        <v>1.0620000000000001</v>
      </c>
      <c r="F36" s="9">
        <v>1.0669999999999999</v>
      </c>
      <c r="G36" s="20">
        <v>1.054</v>
      </c>
    </row>
    <row r="37" spans="1:7" ht="15" customHeight="1" x14ac:dyDescent="0.25">
      <c r="A37" s="17" t="s">
        <v>55</v>
      </c>
      <c r="B37" s="20">
        <v>1.016</v>
      </c>
      <c r="C37" s="20">
        <v>1.014</v>
      </c>
      <c r="D37" s="9">
        <v>1.014</v>
      </c>
      <c r="E37" s="9">
        <v>1.014</v>
      </c>
      <c r="F37" s="9">
        <v>1.0149999999999999</v>
      </c>
      <c r="G37" s="20">
        <v>1.014</v>
      </c>
    </row>
    <row r="38" spans="1:7" ht="15" customHeight="1" x14ac:dyDescent="0.25">
      <c r="A38" s="17" t="s">
        <v>57</v>
      </c>
      <c r="B38" s="20">
        <v>153</v>
      </c>
      <c r="C38" s="25" t="s">
        <v>328</v>
      </c>
      <c r="D38" s="9">
        <v>155</v>
      </c>
      <c r="E38" s="9">
        <v>152</v>
      </c>
      <c r="F38" s="9">
        <v>152</v>
      </c>
      <c r="G38" s="20">
        <v>154</v>
      </c>
    </row>
    <row r="39" spans="1:7" ht="15" customHeight="1" x14ac:dyDescent="0.25">
      <c r="A39" s="17" t="s">
        <v>58</v>
      </c>
      <c r="B39" s="25" t="s">
        <v>252</v>
      </c>
      <c r="C39" s="25">
        <v>1056</v>
      </c>
      <c r="D39" s="24" t="s">
        <v>252</v>
      </c>
      <c r="E39" s="24" t="s">
        <v>199</v>
      </c>
      <c r="F39" s="24" t="s">
        <v>199</v>
      </c>
      <c r="G39" s="25" t="s">
        <v>199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5.7109375" customWidth="1"/>
    <col min="2" max="2" width="14" customWidth="1"/>
    <col min="3" max="3" width="12.28515625" customWidth="1"/>
    <col min="4" max="4" width="13.85546875" customWidth="1"/>
    <col min="5" max="7" width="7.5703125" customWidth="1"/>
  </cols>
  <sheetData>
    <row r="1" spans="1:4" ht="23.25" customHeight="1" x14ac:dyDescent="0.35">
      <c r="A1" s="3" t="s">
        <v>306</v>
      </c>
      <c r="B1" s="3"/>
      <c r="C1" s="4"/>
      <c r="D1" s="4"/>
    </row>
    <row r="2" spans="1:4" ht="23.25" customHeight="1" x14ac:dyDescent="0.35">
      <c r="A2" s="3"/>
      <c r="B2" s="3"/>
      <c r="C2" s="4"/>
      <c r="D2" s="4"/>
    </row>
    <row r="3" spans="1:4" ht="23.25" customHeight="1" x14ac:dyDescent="0.25">
      <c r="A3" s="4"/>
      <c r="B3" s="52">
        <v>2001</v>
      </c>
      <c r="C3" s="53">
        <v>2004</v>
      </c>
      <c r="D3" s="53">
        <v>2014</v>
      </c>
    </row>
    <row r="4" spans="1:4" ht="15" customHeight="1" x14ac:dyDescent="0.25">
      <c r="A4" s="17" t="s">
        <v>112</v>
      </c>
      <c r="B4" s="54"/>
      <c r="C4" s="54">
        <f>28/36</f>
        <v>0.77777777777777779</v>
      </c>
      <c r="D4" s="54"/>
    </row>
    <row r="5" spans="1:4" ht="15" customHeight="1" x14ac:dyDescent="0.25">
      <c r="A5" s="17" t="s">
        <v>17</v>
      </c>
      <c r="B5" s="54"/>
      <c r="C5" s="54">
        <f>3/36</f>
        <v>8.3333333333333329E-2</v>
      </c>
      <c r="D5" s="54"/>
    </row>
    <row r="6" spans="1:4" ht="15" customHeight="1" x14ac:dyDescent="0.25">
      <c r="A6" s="17" t="s">
        <v>128</v>
      </c>
      <c r="B6" s="54"/>
      <c r="C6" s="54">
        <f>2.5/36</f>
        <v>6.9444444444444448E-2</v>
      </c>
      <c r="D6" s="54"/>
    </row>
    <row r="7" spans="1:4" ht="15" customHeight="1" x14ac:dyDescent="0.25">
      <c r="A7" s="17" t="s">
        <v>38</v>
      </c>
      <c r="B7" s="54">
        <f>1/11.25</f>
        <v>8.8888888888888892E-2</v>
      </c>
      <c r="C7" s="54">
        <f>2/36</f>
        <v>5.5555555555555552E-2</v>
      </c>
      <c r="D7" s="54"/>
    </row>
    <row r="8" spans="1:4" ht="15" customHeight="1" x14ac:dyDescent="0.25">
      <c r="A8" s="17" t="s">
        <v>155</v>
      </c>
      <c r="B8" s="54">
        <f>0.25/11.25</f>
        <v>2.2222222222222223E-2</v>
      </c>
      <c r="C8" s="54">
        <f>0.5/36</f>
        <v>1.3888888888888888E-2</v>
      </c>
      <c r="D8" s="54">
        <f>0.6/12.6</f>
        <v>4.7619047619047616E-2</v>
      </c>
    </row>
    <row r="9" spans="1:4" ht="15" customHeight="1" x14ac:dyDescent="0.25">
      <c r="A9" s="17" t="s">
        <v>14</v>
      </c>
      <c r="B9" s="54"/>
      <c r="C9" s="54"/>
      <c r="D9" s="54">
        <f>9.6/12.6</f>
        <v>0.76190476190476186</v>
      </c>
    </row>
    <row r="10" spans="1:4" ht="15" customHeight="1" x14ac:dyDescent="0.25">
      <c r="A10" s="17" t="s">
        <v>24</v>
      </c>
      <c r="B10" s="54">
        <f t="shared" ref="B10:B11" si="0">1/11.25</f>
        <v>8.8888888888888892E-2</v>
      </c>
      <c r="C10" s="54"/>
      <c r="D10" s="54">
        <f>1.8/12.6</f>
        <v>0.14285714285714288</v>
      </c>
    </row>
    <row r="11" spans="1:4" ht="15" customHeight="1" x14ac:dyDescent="0.25">
      <c r="A11" s="17" t="s">
        <v>134</v>
      </c>
      <c r="B11" s="54">
        <f t="shared" si="0"/>
        <v>8.8888888888888892E-2</v>
      </c>
      <c r="C11" s="54"/>
      <c r="D11" s="54">
        <f>0.6/12.6</f>
        <v>4.7619047619047616E-2</v>
      </c>
    </row>
    <row r="12" spans="1:4" ht="15" customHeight="1" x14ac:dyDescent="0.25">
      <c r="A12" s="48" t="s">
        <v>293</v>
      </c>
      <c r="B12" s="54">
        <f>2/11.25</f>
        <v>0.17777777777777778</v>
      </c>
      <c r="C12" s="54"/>
      <c r="D12" s="54"/>
    </row>
    <row r="13" spans="1:4" ht="15" customHeight="1" x14ac:dyDescent="0.25">
      <c r="A13" s="48" t="s">
        <v>214</v>
      </c>
      <c r="B13" s="54">
        <f>6/11.25</f>
        <v>0.53333333333333333</v>
      </c>
      <c r="C13" s="54"/>
      <c r="D13" s="54"/>
    </row>
    <row r="14" spans="1:4" ht="15" customHeight="1" x14ac:dyDescent="0.25">
      <c r="A14" s="27"/>
      <c r="B14" s="58"/>
      <c r="C14" s="58"/>
      <c r="D14" s="58"/>
    </row>
    <row r="15" spans="1:4" ht="15" customHeight="1" x14ac:dyDescent="0.25">
      <c r="A15" s="27"/>
      <c r="B15" s="58"/>
      <c r="C15" s="58"/>
      <c r="D15" s="58"/>
    </row>
    <row r="16" spans="1:4" ht="30" customHeight="1" x14ac:dyDescent="0.25">
      <c r="A16" s="17" t="s">
        <v>28</v>
      </c>
      <c r="B16" s="19"/>
      <c r="C16" s="19" t="s">
        <v>307</v>
      </c>
      <c r="D16" s="19"/>
    </row>
    <row r="17" spans="1:4" ht="30" customHeight="1" x14ac:dyDescent="0.25">
      <c r="A17" s="18" t="s">
        <v>31</v>
      </c>
      <c r="B17" s="22" t="s">
        <v>142</v>
      </c>
      <c r="C17" s="19" t="s">
        <v>170</v>
      </c>
      <c r="D17" s="19" t="s">
        <v>206</v>
      </c>
    </row>
    <row r="18" spans="1:4" ht="15" customHeight="1" x14ac:dyDescent="0.25">
      <c r="A18" s="18" t="s">
        <v>39</v>
      </c>
      <c r="B18" s="19"/>
      <c r="C18" s="19"/>
      <c r="D18" s="19"/>
    </row>
    <row r="19" spans="1:4" ht="15" customHeight="1" x14ac:dyDescent="0.25">
      <c r="A19" s="18" t="s">
        <v>40</v>
      </c>
      <c r="B19" s="19"/>
      <c r="C19" s="19"/>
      <c r="D19" s="19" t="s">
        <v>206</v>
      </c>
    </row>
    <row r="20" spans="1:4" ht="30" customHeight="1" x14ac:dyDescent="0.25">
      <c r="A20" s="18" t="s">
        <v>41</v>
      </c>
      <c r="B20" s="22" t="s">
        <v>206</v>
      </c>
      <c r="C20" s="19" t="s">
        <v>170</v>
      </c>
      <c r="D20" s="19" t="s">
        <v>196</v>
      </c>
    </row>
    <row r="21" spans="1:4" ht="15" customHeight="1" x14ac:dyDescent="0.25">
      <c r="A21" s="18" t="s">
        <v>43</v>
      </c>
      <c r="B21" s="9"/>
      <c r="C21" s="9" t="s">
        <v>206</v>
      </c>
      <c r="D21" s="9"/>
    </row>
    <row r="22" spans="1:4" ht="15" customHeight="1" x14ac:dyDescent="0.25">
      <c r="A22" s="18" t="s">
        <v>44</v>
      </c>
      <c r="B22" s="9"/>
      <c r="C22" s="9"/>
      <c r="D22" s="9" t="s">
        <v>206</v>
      </c>
    </row>
    <row r="23" spans="1:4" ht="30" customHeight="1" x14ac:dyDescent="0.25">
      <c r="A23" s="18" t="s">
        <v>45</v>
      </c>
      <c r="B23" s="20" t="s">
        <v>138</v>
      </c>
      <c r="C23" s="9" t="s">
        <v>206</v>
      </c>
      <c r="D23" s="19" t="s">
        <v>309</v>
      </c>
    </row>
    <row r="24" spans="1:4" ht="30" customHeight="1" x14ac:dyDescent="0.25">
      <c r="A24" s="18" t="s">
        <v>52</v>
      </c>
      <c r="B24" s="22" t="s">
        <v>138</v>
      </c>
      <c r="C24" s="19" t="s">
        <v>138</v>
      </c>
      <c r="D24" s="19"/>
    </row>
    <row r="25" spans="1:4" ht="15" customHeight="1" x14ac:dyDescent="0.25">
      <c r="A25" s="58"/>
      <c r="B25" s="15"/>
      <c r="C25" s="15"/>
      <c r="D25" s="15"/>
    </row>
    <row r="26" spans="1:4" ht="15" customHeight="1" x14ac:dyDescent="0.25">
      <c r="A26" s="17" t="s">
        <v>53</v>
      </c>
      <c r="B26" s="20">
        <v>1.0580000000000001</v>
      </c>
      <c r="C26" s="9">
        <v>1.06</v>
      </c>
      <c r="D26" s="9">
        <v>1.0620000000000001</v>
      </c>
    </row>
    <row r="27" spans="1:4" ht="15" customHeight="1" x14ac:dyDescent="0.25">
      <c r="A27" s="17" t="s">
        <v>55</v>
      </c>
      <c r="B27" s="20">
        <v>1.018</v>
      </c>
      <c r="C27" s="9">
        <v>1.0169999999999999</v>
      </c>
      <c r="D27" s="9">
        <v>1.014</v>
      </c>
    </row>
    <row r="28" spans="1:4" ht="15" customHeight="1" x14ac:dyDescent="0.25">
      <c r="A28" s="17" t="s">
        <v>57</v>
      </c>
      <c r="B28" s="20">
        <v>155</v>
      </c>
      <c r="C28" s="9">
        <v>152</v>
      </c>
      <c r="D28" s="25" t="s">
        <v>310</v>
      </c>
    </row>
    <row r="29" spans="1:4" ht="15" customHeight="1" x14ac:dyDescent="0.25">
      <c r="A29" s="17" t="s">
        <v>58</v>
      </c>
      <c r="B29" s="25">
        <v>1056</v>
      </c>
      <c r="C29" s="24" t="s">
        <v>199</v>
      </c>
      <c r="D29" s="24">
        <v>1056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8.42578125" customWidth="1"/>
    <col min="2" max="2" width="19.140625" customWidth="1"/>
    <col min="3" max="3" width="19.42578125" customWidth="1"/>
    <col min="4" max="4" width="10.28515625" customWidth="1"/>
    <col min="5" max="5" width="11.85546875" customWidth="1"/>
    <col min="6" max="6" width="9" customWidth="1"/>
    <col min="7" max="7" width="10.7109375" customWidth="1"/>
    <col min="8" max="8" width="9" customWidth="1"/>
  </cols>
  <sheetData>
    <row r="1" spans="1:8" ht="23.25" customHeight="1" x14ac:dyDescent="0.35">
      <c r="A1" s="3" t="s">
        <v>312</v>
      </c>
      <c r="B1" s="3"/>
      <c r="C1" s="3"/>
    </row>
    <row r="2" spans="1:8" ht="15" customHeight="1" x14ac:dyDescent="0.25">
      <c r="A2" s="4"/>
      <c r="B2" s="4"/>
      <c r="C2" s="4"/>
    </row>
    <row r="3" spans="1:8" ht="23.25" customHeight="1" x14ac:dyDescent="0.35">
      <c r="A3" s="4"/>
      <c r="B3" s="5">
        <v>2000</v>
      </c>
      <c r="C3" s="5">
        <v>2003</v>
      </c>
      <c r="D3" s="7">
        <v>2009</v>
      </c>
      <c r="E3" s="28">
        <v>2010</v>
      </c>
      <c r="F3" s="7">
        <v>2013</v>
      </c>
      <c r="G3" s="7">
        <v>2014</v>
      </c>
      <c r="H3" s="5">
        <v>2015</v>
      </c>
    </row>
    <row r="4" spans="1:8" ht="15" customHeight="1" x14ac:dyDescent="0.25">
      <c r="A4" s="8" t="s">
        <v>214</v>
      </c>
      <c r="B4" s="10"/>
      <c r="C4" s="10"/>
      <c r="D4" s="10">
        <f>5.5/7.85</f>
        <v>0.7006369426751593</v>
      </c>
      <c r="E4" s="30">
        <f>7/8.812</f>
        <v>0.79437131184748078</v>
      </c>
      <c r="F4" s="10">
        <f>3.5/5.25</f>
        <v>0.66666666666666663</v>
      </c>
      <c r="G4" s="10">
        <f>16/19.13</f>
        <v>0.83638264506011506</v>
      </c>
      <c r="H4" s="10"/>
    </row>
    <row r="5" spans="1:8" ht="15" customHeight="1" x14ac:dyDescent="0.25">
      <c r="A5" s="8" t="s">
        <v>123</v>
      </c>
      <c r="B5" s="10">
        <f>0.5/9.625</f>
        <v>5.1948051948051951E-2</v>
      </c>
      <c r="C5" s="10"/>
      <c r="D5" s="10">
        <f>1/7.85</f>
        <v>0.12738853503184713</v>
      </c>
      <c r="E5" s="30"/>
      <c r="F5" s="10"/>
      <c r="G5" s="10"/>
      <c r="H5" s="10"/>
    </row>
    <row r="6" spans="1:8" ht="15" customHeight="1" x14ac:dyDescent="0.25">
      <c r="A6" s="8" t="s">
        <v>155</v>
      </c>
      <c r="B6" s="10">
        <f>0.125/9.625</f>
        <v>1.2987012987012988E-2</v>
      </c>
      <c r="C6" s="60">
        <f>0.375/9.175</f>
        <v>4.0871934604904632E-2</v>
      </c>
      <c r="D6" s="10">
        <f t="shared" ref="D6:D7" si="0">0.4/7.85</f>
        <v>5.0955414012738856E-2</v>
      </c>
      <c r="E6" s="30">
        <f>0.375/8.812</f>
        <v>4.2555605991829323E-2</v>
      </c>
      <c r="F6" s="10">
        <f>0.25/5.25</f>
        <v>4.7619047619047616E-2</v>
      </c>
      <c r="G6" s="10">
        <f>0.5/19.13</f>
        <v>2.6136957658128596E-2</v>
      </c>
      <c r="H6" s="10"/>
    </row>
    <row r="7" spans="1:8" ht="15" customHeight="1" x14ac:dyDescent="0.25">
      <c r="A7" s="8" t="s">
        <v>165</v>
      </c>
      <c r="B7" s="10"/>
      <c r="C7" s="10"/>
      <c r="D7" s="10">
        <f t="shared" si="0"/>
        <v>5.0955414012738856E-2</v>
      </c>
      <c r="E7" s="30"/>
      <c r="F7" s="10"/>
      <c r="G7" s="10">
        <f>0.75/19.13</f>
        <v>3.9205436487192893E-2</v>
      </c>
      <c r="H7" s="10"/>
    </row>
    <row r="8" spans="1:8" ht="15" customHeight="1" x14ac:dyDescent="0.25">
      <c r="A8" s="8" t="s">
        <v>294</v>
      </c>
      <c r="B8" s="10"/>
      <c r="C8" s="10"/>
      <c r="D8" s="10">
        <f>0.25/7.85</f>
        <v>3.1847133757961783E-2</v>
      </c>
      <c r="E8" s="30"/>
      <c r="F8" s="10">
        <f>0.75/5.25</f>
        <v>0.14285714285714285</v>
      </c>
      <c r="G8" s="10"/>
      <c r="H8" s="21">
        <v>2.1000000000000001E-2</v>
      </c>
    </row>
    <row r="9" spans="1:8" ht="15" customHeight="1" x14ac:dyDescent="0.25">
      <c r="A9" s="8" t="s">
        <v>250</v>
      </c>
      <c r="B9" s="10"/>
      <c r="C9" s="10"/>
      <c r="D9" s="10">
        <f>0.2/7.85</f>
        <v>2.5477707006369428E-2</v>
      </c>
      <c r="E9" s="30"/>
      <c r="F9" s="10"/>
      <c r="G9" s="10"/>
      <c r="H9" s="10"/>
    </row>
    <row r="10" spans="1:8" ht="15" customHeight="1" x14ac:dyDescent="0.25">
      <c r="A10" s="8" t="s">
        <v>125</v>
      </c>
      <c r="B10" s="10"/>
      <c r="C10" s="10"/>
      <c r="D10" s="10">
        <f>0.1/7.85</f>
        <v>1.2738853503184714E-2</v>
      </c>
      <c r="E10" s="30"/>
      <c r="F10" s="10"/>
      <c r="G10" s="10"/>
      <c r="H10" s="10"/>
    </row>
    <row r="11" spans="1:8" ht="15" customHeight="1" x14ac:dyDescent="0.25">
      <c r="A11" s="8" t="s">
        <v>285</v>
      </c>
      <c r="B11" s="10"/>
      <c r="C11" s="10">
        <f>1.25/9.175</f>
        <v>0.13623978201634876</v>
      </c>
      <c r="D11" s="10"/>
      <c r="E11" s="30">
        <f>1/8.812</f>
        <v>0.11348161597821153</v>
      </c>
      <c r="F11" s="10"/>
      <c r="G11" s="10"/>
      <c r="H11" s="10"/>
    </row>
    <row r="12" spans="1:8" ht="15" customHeight="1" x14ac:dyDescent="0.25">
      <c r="A12" s="8" t="s">
        <v>164</v>
      </c>
      <c r="B12" s="10"/>
      <c r="C12" s="10"/>
      <c r="D12" s="10"/>
      <c r="E12" s="30">
        <f>0.375/8.812</f>
        <v>4.2555605991829323E-2</v>
      </c>
      <c r="F12" s="10"/>
      <c r="G12" s="10"/>
      <c r="H12" s="10"/>
    </row>
    <row r="13" spans="1:8" ht="15" customHeight="1" x14ac:dyDescent="0.25">
      <c r="A13" s="8" t="s">
        <v>129</v>
      </c>
      <c r="B13" s="10"/>
      <c r="C13" s="10"/>
      <c r="D13" s="10"/>
      <c r="E13" s="30">
        <f>0.0625/8.812</f>
        <v>7.0926009986382208E-3</v>
      </c>
      <c r="F13" s="10"/>
      <c r="G13" s="10"/>
      <c r="H13" s="10"/>
    </row>
    <row r="14" spans="1:8" ht="15" customHeight="1" x14ac:dyDescent="0.25">
      <c r="A14" s="8" t="s">
        <v>326</v>
      </c>
      <c r="B14" s="10"/>
      <c r="C14" s="10"/>
      <c r="D14" s="10"/>
      <c r="E14" s="30"/>
      <c r="F14" s="10">
        <f t="shared" ref="F14:F16" si="1">0.25/5.25</f>
        <v>4.7619047619047616E-2</v>
      </c>
      <c r="G14" s="10"/>
      <c r="H14" s="10"/>
    </row>
    <row r="15" spans="1:8" ht="15" customHeight="1" x14ac:dyDescent="0.25">
      <c r="A15" s="8" t="s">
        <v>327</v>
      </c>
      <c r="B15" s="10"/>
      <c r="C15" s="10"/>
      <c r="D15" s="10"/>
      <c r="E15" s="30"/>
      <c r="F15" s="10">
        <f t="shared" si="1"/>
        <v>4.7619047619047616E-2</v>
      </c>
      <c r="G15" s="10"/>
      <c r="H15" s="10"/>
    </row>
    <row r="16" spans="1:8" ht="15" customHeight="1" x14ac:dyDescent="0.25">
      <c r="A16" s="8" t="s">
        <v>167</v>
      </c>
      <c r="B16" s="10"/>
      <c r="C16" s="10"/>
      <c r="D16" s="10"/>
      <c r="E16" s="30"/>
      <c r="F16" s="10">
        <f t="shared" si="1"/>
        <v>4.7619047619047616E-2</v>
      </c>
      <c r="G16" s="10"/>
      <c r="H16" s="10"/>
    </row>
    <row r="17" spans="1:8" ht="15" customHeight="1" x14ac:dyDescent="0.25">
      <c r="A17" s="8" t="s">
        <v>17</v>
      </c>
      <c r="B17" s="10"/>
      <c r="C17" s="10"/>
      <c r="D17" s="10"/>
      <c r="E17" s="30"/>
      <c r="F17" s="10"/>
      <c r="G17" s="10">
        <f>0.5/19.13</f>
        <v>2.6136957658128596E-2</v>
      </c>
      <c r="H17" s="10"/>
    </row>
    <row r="18" spans="1:8" ht="15" customHeight="1" x14ac:dyDescent="0.25">
      <c r="A18" s="8" t="s">
        <v>174</v>
      </c>
      <c r="B18" s="10"/>
      <c r="C18" s="10"/>
      <c r="D18" s="10"/>
      <c r="E18" s="30"/>
      <c r="F18" s="10"/>
      <c r="G18" s="10">
        <f>0.13/19.13</f>
        <v>6.7956089911134351E-3</v>
      </c>
      <c r="H18" s="10"/>
    </row>
    <row r="19" spans="1:8" ht="15" customHeight="1" x14ac:dyDescent="0.25">
      <c r="A19" s="8" t="s">
        <v>334</v>
      </c>
      <c r="B19" s="10"/>
      <c r="C19" s="10"/>
      <c r="D19" s="10"/>
      <c r="E19" s="30"/>
      <c r="F19" s="10"/>
      <c r="G19" s="10">
        <f>0.25/19.13</f>
        <v>1.3068478829064298E-2</v>
      </c>
      <c r="H19" s="10"/>
    </row>
    <row r="20" spans="1:8" ht="15" customHeight="1" x14ac:dyDescent="0.25">
      <c r="A20" s="8" t="s">
        <v>134</v>
      </c>
      <c r="B20" s="10"/>
      <c r="C20" s="10"/>
      <c r="D20" s="10"/>
      <c r="E20" s="30"/>
      <c r="F20" s="10"/>
      <c r="G20" s="10">
        <f>1/19.13</f>
        <v>5.2273915316257191E-2</v>
      </c>
      <c r="H20" s="10"/>
    </row>
    <row r="21" spans="1:8" ht="15" customHeight="1" x14ac:dyDescent="0.25">
      <c r="A21" s="16" t="s">
        <v>137</v>
      </c>
      <c r="B21" s="10">
        <f t="shared" ref="B21:B22" si="2">0.5/9.625</f>
        <v>5.1948051948051951E-2</v>
      </c>
      <c r="C21" s="10"/>
      <c r="D21" s="10"/>
      <c r="E21" s="30"/>
      <c r="F21" s="10"/>
      <c r="G21" s="10"/>
      <c r="H21" s="10"/>
    </row>
    <row r="22" spans="1:8" ht="15" customHeight="1" x14ac:dyDescent="0.25">
      <c r="A22" s="16" t="s">
        <v>38</v>
      </c>
      <c r="B22" s="10">
        <f t="shared" si="2"/>
        <v>5.1948051948051951E-2</v>
      </c>
      <c r="C22" s="10"/>
      <c r="D22" s="10"/>
      <c r="E22" s="30"/>
      <c r="F22" s="10"/>
      <c r="G22" s="10"/>
      <c r="H22" s="21">
        <v>8.3000000000000004E-2</v>
      </c>
    </row>
    <row r="23" spans="1:8" ht="15" customHeight="1" x14ac:dyDescent="0.25">
      <c r="A23" s="16" t="s">
        <v>112</v>
      </c>
      <c r="B23" s="10">
        <f>8/9.625</f>
        <v>0.83116883116883122</v>
      </c>
      <c r="C23" s="10"/>
      <c r="D23" s="10"/>
      <c r="E23" s="30"/>
      <c r="F23" s="10"/>
      <c r="G23" s="10"/>
      <c r="H23" s="10"/>
    </row>
    <row r="24" spans="1:8" ht="15" customHeight="1" x14ac:dyDescent="0.25">
      <c r="A24" s="16" t="s">
        <v>233</v>
      </c>
      <c r="B24" s="10"/>
      <c r="C24" s="10">
        <f>7.3/9.175</f>
        <v>0.79564032697547671</v>
      </c>
      <c r="D24" s="10"/>
      <c r="E24" s="30"/>
      <c r="F24" s="10"/>
      <c r="G24" s="10"/>
      <c r="H24" s="21">
        <v>0.77800000000000002</v>
      </c>
    </row>
    <row r="25" spans="1:8" ht="15" customHeight="1" x14ac:dyDescent="0.25">
      <c r="A25" s="16" t="s">
        <v>178</v>
      </c>
      <c r="B25" s="10"/>
      <c r="C25" s="10">
        <f>0.25/9.175</f>
        <v>2.7247956403269751E-2</v>
      </c>
      <c r="D25" s="10"/>
      <c r="E25" s="30"/>
      <c r="F25" s="10"/>
      <c r="G25" s="10"/>
      <c r="H25" s="10"/>
    </row>
    <row r="26" spans="1:8" ht="15" customHeight="1" x14ac:dyDescent="0.25">
      <c r="A26" s="16" t="s">
        <v>340</v>
      </c>
      <c r="B26" s="10"/>
      <c r="C26" s="10"/>
      <c r="D26" s="10"/>
      <c r="E26" s="30"/>
      <c r="F26" s="10"/>
      <c r="G26" s="10"/>
      <c r="H26" s="21">
        <v>6.9000000000000006E-2</v>
      </c>
    </row>
    <row r="27" spans="1:8" ht="15" customHeight="1" x14ac:dyDescent="0.25">
      <c r="A27" s="16" t="s">
        <v>341</v>
      </c>
      <c r="B27" s="10"/>
      <c r="C27" s="10"/>
      <c r="D27" s="10"/>
      <c r="E27" s="30"/>
      <c r="F27" s="10"/>
      <c r="G27" s="10"/>
      <c r="H27" s="21">
        <v>2.8000000000000001E-2</v>
      </c>
    </row>
    <row r="28" spans="1:8" ht="15" customHeight="1" x14ac:dyDescent="0.25">
      <c r="A28" s="16" t="s">
        <v>153</v>
      </c>
      <c r="B28" s="10"/>
      <c r="C28" s="10"/>
      <c r="D28" s="10"/>
      <c r="E28" s="30"/>
      <c r="F28" s="10"/>
      <c r="G28" s="10"/>
      <c r="H28" s="21">
        <v>2.1000000000000001E-2</v>
      </c>
    </row>
    <row r="29" spans="1:8" ht="15" customHeight="1" x14ac:dyDescent="0.25">
      <c r="A29" s="4"/>
    </row>
    <row r="30" spans="1:8" ht="15" customHeight="1" x14ac:dyDescent="0.25">
      <c r="A30" s="17" t="s">
        <v>28</v>
      </c>
      <c r="B30" s="9"/>
      <c r="C30" s="9"/>
      <c r="D30" s="9"/>
      <c r="E30" s="31"/>
      <c r="F30" s="9"/>
      <c r="G30" s="9"/>
      <c r="H30" s="9"/>
    </row>
    <row r="31" spans="1:8" ht="15" customHeight="1" x14ac:dyDescent="0.25">
      <c r="A31" s="17" t="s">
        <v>113</v>
      </c>
      <c r="B31" s="19"/>
      <c r="C31" s="19"/>
      <c r="D31" s="19"/>
      <c r="E31" s="31"/>
      <c r="F31" s="9"/>
      <c r="G31" s="9"/>
      <c r="H31" s="9"/>
    </row>
    <row r="32" spans="1:8" ht="30" customHeight="1" x14ac:dyDescent="0.25">
      <c r="A32" s="18" t="s">
        <v>31</v>
      </c>
      <c r="B32" s="69" t="s">
        <v>195</v>
      </c>
      <c r="C32" s="4"/>
      <c r="D32" s="4" t="s">
        <v>344</v>
      </c>
      <c r="E32" s="32" t="s">
        <v>195</v>
      </c>
      <c r="F32" s="32" t="s">
        <v>195</v>
      </c>
      <c r="G32" s="19" t="s">
        <v>195</v>
      </c>
      <c r="H32" s="19" t="s">
        <v>195</v>
      </c>
    </row>
    <row r="33" spans="1:8" ht="15" customHeight="1" x14ac:dyDescent="0.25">
      <c r="A33" s="18" t="s">
        <v>39</v>
      </c>
      <c r="B33" s="19"/>
      <c r="C33" s="22" t="s">
        <v>345</v>
      </c>
      <c r="D33" s="19"/>
      <c r="E33" s="32"/>
      <c r="F33" s="19"/>
      <c r="G33" s="19"/>
      <c r="H33" s="19"/>
    </row>
    <row r="34" spans="1:8" ht="15" customHeight="1" x14ac:dyDescent="0.25">
      <c r="A34" s="18" t="s">
        <v>40</v>
      </c>
      <c r="B34" s="9"/>
      <c r="C34" s="9"/>
      <c r="D34" s="9"/>
      <c r="E34" s="32"/>
      <c r="F34" s="19"/>
      <c r="G34" s="19"/>
      <c r="H34" s="19"/>
    </row>
    <row r="35" spans="1:8" ht="30" customHeight="1" x14ac:dyDescent="0.25">
      <c r="A35" s="18" t="s">
        <v>41</v>
      </c>
      <c r="B35" s="20" t="s">
        <v>195</v>
      </c>
      <c r="C35" s="9"/>
      <c r="D35" s="9"/>
      <c r="E35" s="32" t="s">
        <v>195</v>
      </c>
      <c r="F35" s="19"/>
      <c r="G35" s="19"/>
      <c r="H35" s="19"/>
    </row>
    <row r="36" spans="1:8" ht="15" customHeight="1" x14ac:dyDescent="0.25">
      <c r="A36" s="18" t="s">
        <v>43</v>
      </c>
      <c r="B36" s="9"/>
      <c r="C36" s="9"/>
      <c r="D36" s="9"/>
      <c r="E36" s="32"/>
      <c r="F36" s="19"/>
      <c r="G36" s="19"/>
      <c r="H36" s="19"/>
    </row>
    <row r="37" spans="1:8" ht="15" customHeight="1" x14ac:dyDescent="0.25">
      <c r="A37" s="18" t="s">
        <v>44</v>
      </c>
      <c r="B37" s="20" t="s">
        <v>195</v>
      </c>
      <c r="C37" s="9"/>
      <c r="D37" s="9"/>
      <c r="E37" s="32"/>
      <c r="F37" s="19"/>
      <c r="G37" s="19"/>
      <c r="H37" s="19"/>
    </row>
    <row r="38" spans="1:8" ht="15" customHeight="1" x14ac:dyDescent="0.25">
      <c r="A38" s="18" t="s">
        <v>45</v>
      </c>
      <c r="B38" s="19"/>
      <c r="C38" s="19"/>
      <c r="D38" s="19"/>
      <c r="E38" s="32"/>
      <c r="F38" s="19"/>
      <c r="G38" s="19"/>
      <c r="H38" s="19"/>
    </row>
    <row r="39" spans="1:8" ht="15" customHeight="1" x14ac:dyDescent="0.25">
      <c r="A39" s="18" t="s">
        <v>52</v>
      </c>
      <c r="B39" s="19"/>
      <c r="C39" s="19"/>
      <c r="D39" s="19"/>
      <c r="E39" s="32"/>
      <c r="F39" s="19"/>
      <c r="G39" s="19"/>
      <c r="H39" s="19"/>
    </row>
    <row r="40" spans="1:8" ht="15" customHeight="1" x14ac:dyDescent="0.25">
      <c r="A40" s="4"/>
    </row>
    <row r="41" spans="1:8" ht="15" customHeight="1" x14ac:dyDescent="0.25">
      <c r="A41" s="17" t="s">
        <v>53</v>
      </c>
      <c r="B41" s="20">
        <v>1.04</v>
      </c>
      <c r="C41" s="20">
        <v>1.04</v>
      </c>
      <c r="D41" s="9">
        <v>1.034</v>
      </c>
      <c r="E41" s="31">
        <v>1.0369999999999999</v>
      </c>
      <c r="F41" s="9">
        <v>1.04</v>
      </c>
      <c r="G41" s="9">
        <v>1.048</v>
      </c>
      <c r="H41" s="20">
        <v>1.0389999999999999</v>
      </c>
    </row>
    <row r="42" spans="1:8" ht="15" customHeight="1" x14ac:dyDescent="0.25">
      <c r="A42" s="17" t="s">
        <v>55</v>
      </c>
      <c r="B42" s="25">
        <v>1.01</v>
      </c>
      <c r="C42" s="25">
        <v>1.0109999999999999</v>
      </c>
      <c r="D42" s="24">
        <v>1.012</v>
      </c>
      <c r="E42" s="31">
        <v>1.01</v>
      </c>
      <c r="F42" s="9">
        <v>1.008</v>
      </c>
      <c r="G42" s="9">
        <v>1.0149999999999999</v>
      </c>
      <c r="H42" s="20">
        <v>1.0129999999999999</v>
      </c>
    </row>
    <row r="43" spans="1:8" ht="15" customHeight="1" x14ac:dyDescent="0.25">
      <c r="A43" s="17" t="s">
        <v>57</v>
      </c>
      <c r="B43" s="36">
        <v>155</v>
      </c>
      <c r="C43" s="36">
        <v>153</v>
      </c>
      <c r="D43" s="33">
        <v>156</v>
      </c>
      <c r="E43" s="31">
        <v>154</v>
      </c>
      <c r="F43" s="9">
        <v>150</v>
      </c>
      <c r="G43" s="9">
        <v>154</v>
      </c>
      <c r="H43" s="25" t="s">
        <v>346</v>
      </c>
    </row>
    <row r="44" spans="1:8" ht="15" customHeight="1" x14ac:dyDescent="0.25">
      <c r="A44" s="17" t="s">
        <v>58</v>
      </c>
      <c r="B44" s="25">
        <v>1028</v>
      </c>
      <c r="C44" s="25" t="s">
        <v>347</v>
      </c>
      <c r="D44" s="24">
        <v>1028</v>
      </c>
      <c r="E44" s="34" t="s">
        <v>252</v>
      </c>
      <c r="F44" s="24" t="s">
        <v>348</v>
      </c>
      <c r="G44" s="24">
        <v>1968</v>
      </c>
      <c r="H44" s="25" t="s">
        <v>252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6" customWidth="1"/>
    <col min="2" max="2" width="18.28515625" customWidth="1"/>
    <col min="3" max="3" width="11.5703125" customWidth="1"/>
    <col min="4" max="4" width="11.85546875" customWidth="1"/>
    <col min="5" max="7" width="7.5703125" customWidth="1"/>
  </cols>
  <sheetData>
    <row r="1" spans="1:4" ht="23.25" customHeight="1" x14ac:dyDescent="0.35">
      <c r="A1" s="3" t="s">
        <v>339</v>
      </c>
      <c r="B1" s="3"/>
    </row>
    <row r="2" spans="1:4" ht="15" customHeight="1" x14ac:dyDescent="0.25">
      <c r="A2" s="4"/>
      <c r="B2" s="4"/>
    </row>
    <row r="3" spans="1:4" ht="23.25" customHeight="1" x14ac:dyDescent="0.35">
      <c r="A3" s="4"/>
      <c r="B3" s="5">
        <v>2002</v>
      </c>
      <c r="C3" s="7">
        <v>2005</v>
      </c>
      <c r="D3" s="7">
        <v>2007</v>
      </c>
    </row>
    <row r="4" spans="1:4" ht="15" customHeight="1" x14ac:dyDescent="0.25">
      <c r="A4" s="8" t="s">
        <v>112</v>
      </c>
      <c r="B4" s="10"/>
      <c r="C4" s="10">
        <f>7.5/11.25</f>
        <v>0.66666666666666663</v>
      </c>
      <c r="D4" s="10">
        <f>6.9/9.66</f>
        <v>0.7142857142857143</v>
      </c>
    </row>
    <row r="5" spans="1:4" ht="15" customHeight="1" x14ac:dyDescent="0.25">
      <c r="A5" s="8" t="s">
        <v>165</v>
      </c>
      <c r="B5" s="10"/>
      <c r="C5" s="10">
        <f>0.5/11.25</f>
        <v>4.4444444444444446E-2</v>
      </c>
      <c r="D5" s="10">
        <f>0.63/9.66</f>
        <v>6.5217391304347824E-2</v>
      </c>
    </row>
    <row r="6" spans="1:4" ht="15" customHeight="1" x14ac:dyDescent="0.25">
      <c r="A6" s="8" t="s">
        <v>316</v>
      </c>
      <c r="B6" s="10"/>
      <c r="C6" s="10">
        <f t="shared" ref="C6:C7" si="0">1/11.25</f>
        <v>8.8888888888888892E-2</v>
      </c>
      <c r="D6" s="10">
        <f>1/9.66</f>
        <v>0.10351966873706003</v>
      </c>
    </row>
    <row r="7" spans="1:4" ht="15" customHeight="1" x14ac:dyDescent="0.25">
      <c r="A7" s="8" t="s">
        <v>32</v>
      </c>
      <c r="B7" s="10"/>
      <c r="C7" s="10">
        <f t="shared" si="0"/>
        <v>8.8888888888888892E-2</v>
      </c>
      <c r="D7" s="10"/>
    </row>
    <row r="8" spans="1:4" ht="15" customHeight="1" x14ac:dyDescent="0.25">
      <c r="A8" s="8" t="s">
        <v>343</v>
      </c>
      <c r="B8" s="10"/>
      <c r="C8" s="10">
        <f t="shared" ref="C8:C9" si="1">0.5/11.25</f>
        <v>4.4444444444444446E-2</v>
      </c>
      <c r="D8" s="10">
        <f>0.5/9.66</f>
        <v>5.1759834368530017E-2</v>
      </c>
    </row>
    <row r="9" spans="1:4" ht="15" customHeight="1" x14ac:dyDescent="0.25">
      <c r="A9" s="8" t="s">
        <v>155</v>
      </c>
      <c r="B9" s="10">
        <f>0.5/17.5</f>
        <v>2.8571428571428571E-2</v>
      </c>
      <c r="C9" s="10">
        <f t="shared" si="1"/>
        <v>4.4444444444444446E-2</v>
      </c>
      <c r="D9" s="10">
        <f>0.38/9.66</f>
        <v>3.9337474120082816E-2</v>
      </c>
    </row>
    <row r="10" spans="1:4" ht="15" customHeight="1" x14ac:dyDescent="0.25">
      <c r="A10" s="8" t="s">
        <v>125</v>
      </c>
      <c r="B10" s="10"/>
      <c r="C10" s="10">
        <f>0.25/11.25</f>
        <v>2.2222222222222223E-2</v>
      </c>
      <c r="D10" s="10">
        <f>0.25/9.66</f>
        <v>2.5879917184265008E-2</v>
      </c>
    </row>
    <row r="11" spans="1:4" ht="15" customHeight="1" x14ac:dyDescent="0.25">
      <c r="A11" s="16" t="s">
        <v>14</v>
      </c>
      <c r="B11" s="10">
        <f>11/17.5</f>
        <v>0.62857142857142856</v>
      </c>
      <c r="C11" s="10"/>
      <c r="D11" s="10"/>
    </row>
    <row r="12" spans="1:4" ht="15" customHeight="1" x14ac:dyDescent="0.25">
      <c r="A12" s="16" t="s">
        <v>127</v>
      </c>
      <c r="B12" s="10">
        <f>4/17.5</f>
        <v>0.22857142857142856</v>
      </c>
      <c r="C12" s="10"/>
      <c r="D12" s="10"/>
    </row>
    <row r="13" spans="1:4" ht="15" customHeight="1" x14ac:dyDescent="0.25">
      <c r="A13" s="16" t="s">
        <v>349</v>
      </c>
      <c r="B13" s="10">
        <f>2/17.5</f>
        <v>0.11428571428571428</v>
      </c>
      <c r="C13" s="10"/>
      <c r="D13" s="10"/>
    </row>
    <row r="14" spans="1:4" ht="15" customHeight="1" x14ac:dyDescent="0.25">
      <c r="A14" s="35"/>
      <c r="B14" s="13"/>
      <c r="C14" s="13"/>
      <c r="D14" s="13"/>
    </row>
    <row r="15" spans="1:4" ht="15" customHeight="1" x14ac:dyDescent="0.25">
      <c r="A15" s="4"/>
    </row>
    <row r="16" spans="1:4" ht="15" customHeight="1" x14ac:dyDescent="0.25">
      <c r="A16" s="17" t="s">
        <v>28</v>
      </c>
      <c r="B16" s="9"/>
      <c r="C16" s="9"/>
      <c r="D16" s="9"/>
    </row>
    <row r="17" spans="1:4" ht="15" customHeight="1" x14ac:dyDescent="0.25">
      <c r="A17" s="17" t="s">
        <v>113</v>
      </c>
      <c r="B17" s="19"/>
      <c r="C17" s="19"/>
      <c r="D17" s="9"/>
    </row>
    <row r="18" spans="1:4" ht="30" customHeight="1" x14ac:dyDescent="0.25">
      <c r="A18" s="18" t="s">
        <v>31</v>
      </c>
      <c r="B18" s="19"/>
      <c r="C18" s="19" t="s">
        <v>195</v>
      </c>
      <c r="D18" s="19" t="s">
        <v>195</v>
      </c>
    </row>
    <row r="19" spans="1:4" ht="15" customHeight="1" x14ac:dyDescent="0.25">
      <c r="A19" s="18" t="s">
        <v>39</v>
      </c>
      <c r="B19" s="22" t="s">
        <v>243</v>
      </c>
      <c r="C19" s="19"/>
      <c r="D19" s="19"/>
    </row>
    <row r="20" spans="1:4" ht="15" customHeight="1" x14ac:dyDescent="0.25">
      <c r="A20" s="18" t="s">
        <v>40</v>
      </c>
      <c r="B20" s="9"/>
      <c r="C20" s="9"/>
      <c r="D20" s="19"/>
    </row>
    <row r="21" spans="1:4" ht="15" customHeight="1" x14ac:dyDescent="0.25">
      <c r="A21" s="18" t="s">
        <v>41</v>
      </c>
      <c r="B21" s="20" t="s">
        <v>195</v>
      </c>
      <c r="C21" s="9"/>
      <c r="D21" s="19"/>
    </row>
    <row r="22" spans="1:4" ht="15" customHeight="1" x14ac:dyDescent="0.25">
      <c r="A22" s="18" t="s">
        <v>43</v>
      </c>
      <c r="B22" s="9"/>
      <c r="C22" s="9"/>
      <c r="D22" s="19"/>
    </row>
    <row r="23" spans="1:4" ht="15" customHeight="1" x14ac:dyDescent="0.25">
      <c r="A23" s="18" t="s">
        <v>44</v>
      </c>
      <c r="B23" s="9"/>
      <c r="C23" s="9"/>
      <c r="D23" s="19"/>
    </row>
    <row r="24" spans="1:4" ht="15" customHeight="1" x14ac:dyDescent="0.25">
      <c r="A24" s="18" t="s">
        <v>45</v>
      </c>
      <c r="B24" s="19"/>
      <c r="C24" s="19"/>
      <c r="D24" s="19"/>
    </row>
    <row r="25" spans="1:4" ht="15" customHeight="1" x14ac:dyDescent="0.25">
      <c r="A25" s="18" t="s">
        <v>52</v>
      </c>
      <c r="B25" s="19"/>
      <c r="C25" s="19"/>
      <c r="D25" s="19"/>
    </row>
    <row r="26" spans="1:4" ht="15" customHeight="1" x14ac:dyDescent="0.25">
      <c r="A26" s="4"/>
    </row>
    <row r="27" spans="1:4" ht="15" customHeight="1" x14ac:dyDescent="0.25">
      <c r="A27" s="17" t="s">
        <v>53</v>
      </c>
      <c r="B27" s="20">
        <v>1.05</v>
      </c>
      <c r="C27" s="9">
        <v>1.05</v>
      </c>
      <c r="D27" s="9">
        <v>1.0409999999999999</v>
      </c>
    </row>
    <row r="28" spans="1:4" ht="15" customHeight="1" x14ac:dyDescent="0.25">
      <c r="A28" s="17" t="s">
        <v>55</v>
      </c>
      <c r="B28" s="25" t="s">
        <v>106</v>
      </c>
      <c r="C28" s="24">
        <v>1.02</v>
      </c>
      <c r="D28" s="24" t="s">
        <v>106</v>
      </c>
    </row>
    <row r="29" spans="1:4" ht="15" customHeight="1" x14ac:dyDescent="0.25">
      <c r="A29" s="17" t="s">
        <v>57</v>
      </c>
      <c r="B29" s="36">
        <v>155</v>
      </c>
      <c r="C29" s="33">
        <v>154</v>
      </c>
      <c r="D29" s="9">
        <v>154</v>
      </c>
    </row>
    <row r="30" spans="1:4" ht="15" customHeight="1" x14ac:dyDescent="0.25">
      <c r="A30" s="17" t="s">
        <v>58</v>
      </c>
      <c r="B30" s="25">
        <v>1028</v>
      </c>
      <c r="C30" s="24" t="s">
        <v>252</v>
      </c>
      <c r="D30" s="24" t="s">
        <v>252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6.140625" customWidth="1"/>
    <col min="2" max="3" width="11.28515625" customWidth="1"/>
    <col min="4" max="4" width="14.5703125" customWidth="1"/>
    <col min="5" max="5" width="9.85546875" customWidth="1"/>
    <col min="6" max="6" width="14.140625" customWidth="1"/>
  </cols>
  <sheetData>
    <row r="1" spans="1:6" ht="23.25" customHeight="1" x14ac:dyDescent="0.35">
      <c r="A1" s="3" t="s">
        <v>342</v>
      </c>
      <c r="B1" s="4"/>
      <c r="D1" s="4"/>
    </row>
    <row r="2" spans="1:6" ht="15" customHeight="1" x14ac:dyDescent="0.25">
      <c r="A2" s="4"/>
      <c r="B2" s="4"/>
      <c r="D2" s="4"/>
    </row>
    <row r="3" spans="1:6" ht="23.25" customHeight="1" x14ac:dyDescent="0.35">
      <c r="A3" s="4"/>
      <c r="B3" s="7">
        <v>2006</v>
      </c>
      <c r="C3" s="28">
        <v>2008</v>
      </c>
      <c r="D3" s="7">
        <v>2011</v>
      </c>
      <c r="E3" s="7">
        <v>2012</v>
      </c>
      <c r="F3" s="5">
        <v>2016</v>
      </c>
    </row>
    <row r="4" spans="1:6" ht="15" customHeight="1" x14ac:dyDescent="0.25">
      <c r="A4" s="8" t="s">
        <v>112</v>
      </c>
      <c r="B4" s="10">
        <f>9.9/12.025</f>
        <v>0.82328482328482333</v>
      </c>
      <c r="C4" s="30"/>
      <c r="D4" s="10">
        <f>8/13.75</f>
        <v>0.58181818181818179</v>
      </c>
      <c r="E4" s="10"/>
      <c r="F4" s="10"/>
    </row>
    <row r="5" spans="1:6" ht="15" customHeight="1" x14ac:dyDescent="0.25">
      <c r="A5" s="8" t="s">
        <v>134</v>
      </c>
      <c r="B5" s="10">
        <f t="shared" ref="B5:B6" si="0">0.7125/12.025</f>
        <v>5.9251559251559255E-2</v>
      </c>
      <c r="C5" s="30">
        <f>0.16/9.17</f>
        <v>1.7448200654307525E-2</v>
      </c>
      <c r="D5" s="10"/>
      <c r="E5" s="10"/>
      <c r="F5" s="10"/>
    </row>
    <row r="6" spans="1:6" ht="15" customHeight="1" x14ac:dyDescent="0.25">
      <c r="A6" s="8" t="s">
        <v>122</v>
      </c>
      <c r="B6" s="10">
        <f t="shared" si="0"/>
        <v>5.9251559251559255E-2</v>
      </c>
      <c r="C6" s="30"/>
      <c r="D6" s="10"/>
      <c r="E6" s="10"/>
      <c r="F6" s="10"/>
    </row>
    <row r="7" spans="1:6" ht="15" customHeight="1" x14ac:dyDescent="0.25">
      <c r="A7" s="8" t="s">
        <v>155</v>
      </c>
      <c r="B7" s="10">
        <f t="shared" ref="B7:B8" si="1">0.35/12.025</f>
        <v>2.9106029106029104E-2</v>
      </c>
      <c r="C7" s="30">
        <f>0.13/9.17</f>
        <v>1.4176663031624865E-2</v>
      </c>
      <c r="D7" s="10">
        <f t="shared" ref="D7:D8" si="2">0.25/13.75</f>
        <v>1.8181818181818181E-2</v>
      </c>
      <c r="E7" s="10">
        <f>(6/16)/15.625</f>
        <v>2.4E-2</v>
      </c>
      <c r="F7" s="10"/>
    </row>
    <row r="8" spans="1:6" ht="15" customHeight="1" x14ac:dyDescent="0.25">
      <c r="A8" s="8" t="s">
        <v>164</v>
      </c>
      <c r="B8" s="10">
        <f t="shared" si="1"/>
        <v>2.9106029106029104E-2</v>
      </c>
      <c r="C8" s="30"/>
      <c r="D8" s="10">
        <f t="shared" si="2"/>
        <v>1.8181818181818181E-2</v>
      </c>
      <c r="E8" s="10">
        <f>0.5/15.625</f>
        <v>3.2000000000000001E-2</v>
      </c>
      <c r="F8" s="10">
        <f>0.75/29</f>
        <v>2.5862068965517241E-2</v>
      </c>
    </row>
    <row r="9" spans="1:6" ht="15" customHeight="1" x14ac:dyDescent="0.25">
      <c r="A9" s="8" t="s">
        <v>214</v>
      </c>
      <c r="B9" s="10"/>
      <c r="C9" s="30">
        <f>7.5/9.17</f>
        <v>0.81788440567066523</v>
      </c>
      <c r="D9" s="10"/>
      <c r="E9" s="10">
        <f>10/15.625</f>
        <v>0.64</v>
      </c>
      <c r="F9" s="10">
        <f>17/29</f>
        <v>0.58620689655172409</v>
      </c>
    </row>
    <row r="10" spans="1:6" ht="15" customHeight="1" x14ac:dyDescent="0.25">
      <c r="A10" s="8" t="s">
        <v>128</v>
      </c>
      <c r="B10" s="10"/>
      <c r="C10" s="30">
        <f>0.75/9.17</f>
        <v>8.1788440567066523E-2</v>
      </c>
      <c r="D10" s="10"/>
      <c r="E10" s="10"/>
      <c r="F10" s="10">
        <f>2/29</f>
        <v>6.8965517241379309E-2</v>
      </c>
    </row>
    <row r="11" spans="1:6" ht="15" customHeight="1" x14ac:dyDescent="0.25">
      <c r="A11" s="8" t="s">
        <v>352</v>
      </c>
      <c r="B11" s="10"/>
      <c r="C11" s="30">
        <f>0.5/9.17</f>
        <v>5.4525627044711013E-2</v>
      </c>
      <c r="D11" s="10"/>
      <c r="E11" s="10"/>
      <c r="F11" s="10"/>
    </row>
    <row r="12" spans="1:6" ht="15" customHeight="1" x14ac:dyDescent="0.25">
      <c r="A12" s="8" t="s">
        <v>250</v>
      </c>
      <c r="B12" s="10"/>
      <c r="C12" s="30">
        <f>0.13/9.17</f>
        <v>1.4176663031624865E-2</v>
      </c>
      <c r="D12" s="10"/>
      <c r="E12" s="10"/>
      <c r="F12" s="10"/>
    </row>
    <row r="13" spans="1:6" ht="15" customHeight="1" x14ac:dyDescent="0.25">
      <c r="A13" s="8" t="s">
        <v>17</v>
      </c>
      <c r="B13" s="10"/>
      <c r="C13" s="30"/>
      <c r="D13" s="10">
        <f>1/13.75</f>
        <v>7.2727272727272724E-2</v>
      </c>
      <c r="E13" s="10"/>
      <c r="F13" s="10"/>
    </row>
    <row r="14" spans="1:6" ht="15" customHeight="1" x14ac:dyDescent="0.25">
      <c r="A14" s="8" t="s">
        <v>285</v>
      </c>
      <c r="B14" s="10"/>
      <c r="C14" s="30"/>
      <c r="D14" s="10">
        <f>2/13.75</f>
        <v>0.14545454545454545</v>
      </c>
      <c r="E14" s="10"/>
      <c r="F14" s="10"/>
    </row>
    <row r="15" spans="1:6" ht="15" customHeight="1" x14ac:dyDescent="0.25">
      <c r="A15" s="8" t="s">
        <v>24</v>
      </c>
      <c r="B15" s="10"/>
      <c r="C15" s="30"/>
      <c r="D15" s="10">
        <f>1/13.75</f>
        <v>7.2727272727272724E-2</v>
      </c>
      <c r="E15" s="10"/>
      <c r="F15" s="10"/>
    </row>
    <row r="16" spans="1:6" ht="15" customHeight="1" x14ac:dyDescent="0.25">
      <c r="A16" s="8" t="s">
        <v>72</v>
      </c>
      <c r="B16" s="10"/>
      <c r="C16" s="30"/>
      <c r="D16" s="10">
        <f t="shared" ref="D16:D17" si="3">0.5/13.75</f>
        <v>3.6363636363636362E-2</v>
      </c>
      <c r="E16" s="10"/>
      <c r="F16" s="10"/>
    </row>
    <row r="17" spans="1:6" ht="15" customHeight="1" x14ac:dyDescent="0.25">
      <c r="A17" s="8" t="s">
        <v>294</v>
      </c>
      <c r="B17" s="10"/>
      <c r="C17" s="30"/>
      <c r="D17" s="10">
        <f t="shared" si="3"/>
        <v>3.6363636363636362E-2</v>
      </c>
      <c r="E17" s="10">
        <f>0.5/15.625</f>
        <v>3.2000000000000001E-2</v>
      </c>
      <c r="F17" s="10"/>
    </row>
    <row r="18" spans="1:6" ht="15" customHeight="1" x14ac:dyDescent="0.25">
      <c r="A18" s="8" t="s">
        <v>271</v>
      </c>
      <c r="B18" s="10"/>
      <c r="C18" s="30"/>
      <c r="D18" s="10">
        <f>0.25/13.75</f>
        <v>1.8181818181818181E-2</v>
      </c>
      <c r="E18" s="10">
        <f>0.75/15.625</f>
        <v>4.8000000000000001E-2</v>
      </c>
      <c r="F18" s="10"/>
    </row>
    <row r="19" spans="1:6" ht="15" customHeight="1" x14ac:dyDescent="0.25">
      <c r="A19" s="8" t="s">
        <v>356</v>
      </c>
      <c r="B19" s="10"/>
      <c r="C19" s="30"/>
      <c r="D19" s="10"/>
      <c r="E19" s="10">
        <f>0.5/15.625</f>
        <v>3.2000000000000001E-2</v>
      </c>
      <c r="F19" s="10"/>
    </row>
    <row r="20" spans="1:6" ht="15" customHeight="1" x14ac:dyDescent="0.25">
      <c r="A20" s="8" t="s">
        <v>82</v>
      </c>
      <c r="B20" s="10"/>
      <c r="C20" s="30"/>
      <c r="D20" s="10"/>
      <c r="E20" s="10">
        <f>3/15.625</f>
        <v>0.192</v>
      </c>
      <c r="F20" s="10">
        <f>6/29</f>
        <v>0.20689655172413793</v>
      </c>
    </row>
    <row r="21" spans="1:6" ht="15" customHeight="1" x14ac:dyDescent="0.25">
      <c r="A21" s="16" t="s">
        <v>357</v>
      </c>
      <c r="B21" s="10"/>
      <c r="C21" s="30"/>
      <c r="D21" s="10"/>
      <c r="E21" s="10"/>
      <c r="F21" s="10">
        <f>0.75/29</f>
        <v>2.5862068965517241E-2</v>
      </c>
    </row>
    <row r="22" spans="1:6" ht="15" customHeight="1" x14ac:dyDescent="0.25">
      <c r="A22" s="16" t="s">
        <v>153</v>
      </c>
      <c r="B22" s="10"/>
      <c r="C22" s="30"/>
      <c r="D22" s="10"/>
      <c r="E22" s="10"/>
      <c r="F22" s="10">
        <f>0.5/29</f>
        <v>1.7241379310344827E-2</v>
      </c>
    </row>
    <row r="23" spans="1:6" ht="15" customHeight="1" x14ac:dyDescent="0.25">
      <c r="A23" s="16" t="s">
        <v>175</v>
      </c>
      <c r="B23" s="10"/>
      <c r="C23" s="30"/>
      <c r="D23" s="10"/>
      <c r="E23" s="10"/>
      <c r="F23" s="10">
        <f>2/29</f>
        <v>6.8965517241379309E-2</v>
      </c>
    </row>
    <row r="24" spans="1:6" ht="15" customHeight="1" x14ac:dyDescent="0.25">
      <c r="A24" s="4"/>
      <c r="B24" s="4"/>
      <c r="D24" s="4"/>
    </row>
    <row r="25" spans="1:6" ht="15" customHeight="1" x14ac:dyDescent="0.25">
      <c r="A25" s="17" t="s">
        <v>28</v>
      </c>
      <c r="B25" s="9"/>
      <c r="C25" s="31"/>
      <c r="D25" s="9"/>
      <c r="E25" s="9"/>
      <c r="F25" s="9"/>
    </row>
    <row r="26" spans="1:6" ht="15" customHeight="1" x14ac:dyDescent="0.25">
      <c r="A26" s="17" t="s">
        <v>113</v>
      </c>
      <c r="B26" s="19"/>
      <c r="C26" s="31"/>
      <c r="D26" s="9"/>
      <c r="E26" s="9"/>
      <c r="F26" s="9"/>
    </row>
    <row r="27" spans="1:6" ht="44.25" customHeight="1" x14ac:dyDescent="0.25">
      <c r="A27" s="18" t="s">
        <v>31</v>
      </c>
      <c r="B27" s="19" t="s">
        <v>170</v>
      </c>
      <c r="C27" s="23" t="s">
        <v>170</v>
      </c>
      <c r="D27" s="32" t="s">
        <v>170</v>
      </c>
      <c r="E27" s="19" t="s">
        <v>195</v>
      </c>
      <c r="F27" s="22" t="s">
        <v>359</v>
      </c>
    </row>
    <row r="28" spans="1:6" ht="15" customHeight="1" x14ac:dyDescent="0.25">
      <c r="A28" s="18" t="s">
        <v>39</v>
      </c>
      <c r="B28" s="19"/>
      <c r="C28" s="32"/>
      <c r="D28" s="19"/>
      <c r="E28" s="19"/>
      <c r="F28" s="19"/>
    </row>
    <row r="29" spans="1:6" ht="15" customHeight="1" x14ac:dyDescent="0.25">
      <c r="A29" s="18" t="s">
        <v>40</v>
      </c>
      <c r="B29" s="9"/>
      <c r="C29" s="32" t="s">
        <v>241</v>
      </c>
      <c r="D29" s="9" t="s">
        <v>196</v>
      </c>
      <c r="E29" s="19"/>
      <c r="F29" s="19"/>
    </row>
    <row r="30" spans="1:6" ht="15" customHeight="1" x14ac:dyDescent="0.25">
      <c r="A30" s="18" t="s">
        <v>41</v>
      </c>
      <c r="B30" s="9"/>
      <c r="C30" s="32" t="s">
        <v>241</v>
      </c>
      <c r="D30" s="19" t="s">
        <v>242</v>
      </c>
      <c r="E30" s="19"/>
      <c r="F30" s="19"/>
    </row>
    <row r="31" spans="1:6" ht="15" customHeight="1" x14ac:dyDescent="0.25">
      <c r="A31" s="18" t="s">
        <v>43</v>
      </c>
      <c r="B31" s="9"/>
      <c r="C31" s="32"/>
      <c r="D31" s="19"/>
      <c r="E31" s="19"/>
      <c r="F31" s="19"/>
    </row>
    <row r="32" spans="1:6" ht="60" customHeight="1" x14ac:dyDescent="0.25">
      <c r="A32" s="18" t="s">
        <v>44</v>
      </c>
      <c r="B32" s="9" t="s">
        <v>196</v>
      </c>
      <c r="C32" s="32"/>
      <c r="D32" s="19" t="s">
        <v>169</v>
      </c>
      <c r="E32" s="19" t="s">
        <v>361</v>
      </c>
      <c r="F32" s="19"/>
    </row>
    <row r="33" spans="1:6" ht="31.5" customHeight="1" x14ac:dyDescent="0.25">
      <c r="A33" s="18" t="s">
        <v>45</v>
      </c>
      <c r="B33" s="19" t="s">
        <v>196</v>
      </c>
      <c r="C33" s="32" t="s">
        <v>241</v>
      </c>
      <c r="D33" s="19"/>
      <c r="E33" s="19"/>
      <c r="F33" s="19" t="s">
        <v>195</v>
      </c>
    </row>
    <row r="34" spans="1:6" ht="15" customHeight="1" x14ac:dyDescent="0.25">
      <c r="A34" s="18" t="s">
        <v>52</v>
      </c>
      <c r="B34" s="19"/>
      <c r="C34" s="32"/>
      <c r="D34" s="19"/>
      <c r="E34" s="19"/>
      <c r="F34" s="19"/>
    </row>
    <row r="35" spans="1:6" ht="15" customHeight="1" x14ac:dyDescent="0.25">
      <c r="A35" s="4"/>
      <c r="B35" s="4"/>
      <c r="D35" s="4"/>
    </row>
    <row r="36" spans="1:6" ht="15" customHeight="1" x14ac:dyDescent="0.25">
      <c r="A36" s="17" t="s">
        <v>53</v>
      </c>
      <c r="B36" s="9">
        <v>1.0580000000000001</v>
      </c>
      <c r="C36" s="31">
        <v>1.0469999999999999</v>
      </c>
      <c r="D36" s="9">
        <v>1.056</v>
      </c>
      <c r="E36" s="9">
        <v>1.0509999999999999</v>
      </c>
      <c r="F36" s="20">
        <v>1.052</v>
      </c>
    </row>
    <row r="37" spans="1:6" ht="15" customHeight="1" x14ac:dyDescent="0.25">
      <c r="A37" s="17" t="s">
        <v>55</v>
      </c>
      <c r="B37" s="24">
        <v>1.022</v>
      </c>
      <c r="C37" s="31">
        <v>1.016</v>
      </c>
      <c r="D37" s="9">
        <v>1.018</v>
      </c>
      <c r="E37" s="9">
        <v>1.0129999999999999</v>
      </c>
      <c r="F37" s="20">
        <v>1.0129999999999999</v>
      </c>
    </row>
    <row r="38" spans="1:6" ht="15" customHeight="1" x14ac:dyDescent="0.25">
      <c r="A38" s="17" t="s">
        <v>57</v>
      </c>
      <c r="B38" s="45" t="s">
        <v>106</v>
      </c>
      <c r="C38" s="31">
        <v>154</v>
      </c>
      <c r="D38" s="24" t="s">
        <v>362</v>
      </c>
      <c r="E38" s="9">
        <v>152</v>
      </c>
      <c r="F38" s="20">
        <v>149</v>
      </c>
    </row>
    <row r="39" spans="1:6" ht="15" customHeight="1" x14ac:dyDescent="0.25">
      <c r="A39" s="17" t="s">
        <v>58</v>
      </c>
      <c r="B39" s="24">
        <v>1318</v>
      </c>
      <c r="C39" s="34">
        <v>1098</v>
      </c>
      <c r="D39" s="24" t="s">
        <v>252</v>
      </c>
      <c r="E39" s="24">
        <v>1469</v>
      </c>
      <c r="F39" s="25">
        <v>1098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4.28515625" customWidth="1"/>
    <col min="2" max="2" width="10" customWidth="1"/>
    <col min="3" max="3" width="9.85546875" customWidth="1"/>
    <col min="4" max="4" width="10.28515625" customWidth="1"/>
    <col min="5" max="6" width="7.5703125" customWidth="1"/>
  </cols>
  <sheetData>
    <row r="1" spans="1:4" ht="23.25" customHeight="1" x14ac:dyDescent="0.35">
      <c r="A1" s="3" t="s">
        <v>350</v>
      </c>
    </row>
    <row r="2" spans="1:4" ht="15" customHeight="1" x14ac:dyDescent="0.25">
      <c r="A2" s="4"/>
    </row>
    <row r="3" spans="1:4" ht="23.25" customHeight="1" x14ac:dyDescent="0.35">
      <c r="A3" s="4"/>
      <c r="B3" s="7">
        <v>2012</v>
      </c>
      <c r="C3" s="5">
        <v>2015</v>
      </c>
      <c r="D3" s="5">
        <v>2016</v>
      </c>
    </row>
    <row r="4" spans="1:4" ht="15" customHeight="1" x14ac:dyDescent="0.25">
      <c r="A4" s="8" t="s">
        <v>214</v>
      </c>
      <c r="B4" s="10">
        <f>16/20.56</f>
        <v>0.77821011673151752</v>
      </c>
      <c r="C4" s="10"/>
      <c r="D4" s="10"/>
    </row>
    <row r="5" spans="1:4" ht="15" customHeight="1" x14ac:dyDescent="0.25">
      <c r="A5" s="8" t="s">
        <v>351</v>
      </c>
      <c r="B5" s="10">
        <f t="shared" ref="B5:B6" si="0">1.75/20.56</f>
        <v>8.5116731517509731E-2</v>
      </c>
      <c r="C5" s="10"/>
      <c r="D5" s="10"/>
    </row>
    <row r="6" spans="1:4" ht="15" customHeight="1" x14ac:dyDescent="0.25">
      <c r="A6" s="8" t="s">
        <v>128</v>
      </c>
      <c r="B6" s="10">
        <f t="shared" si="0"/>
        <v>8.5116731517509731E-2</v>
      </c>
      <c r="C6" s="10"/>
      <c r="D6" s="10"/>
    </row>
    <row r="7" spans="1:4" ht="15" customHeight="1" x14ac:dyDescent="0.25">
      <c r="A7" s="8" t="s">
        <v>155</v>
      </c>
      <c r="B7" s="10">
        <f>1.06/20.56</f>
        <v>5.1556420233463039E-2</v>
      </c>
      <c r="C7" s="21">
        <v>3.7999999999999999E-2</v>
      </c>
      <c r="D7" s="21"/>
    </row>
    <row r="8" spans="1:4" ht="15" customHeight="1" x14ac:dyDescent="0.25">
      <c r="A8" s="16" t="s">
        <v>24</v>
      </c>
      <c r="B8" s="10"/>
      <c r="C8" s="21">
        <v>7.4999999999999997E-2</v>
      </c>
      <c r="D8" s="21"/>
    </row>
    <row r="9" spans="1:4" ht="15" customHeight="1" x14ac:dyDescent="0.25">
      <c r="A9" s="16" t="s">
        <v>38</v>
      </c>
      <c r="B9" s="10"/>
      <c r="C9" s="21">
        <v>3.7999999999999999E-2</v>
      </c>
      <c r="D9" s="21"/>
    </row>
    <row r="10" spans="1:4" ht="15" customHeight="1" x14ac:dyDescent="0.25">
      <c r="A10" s="16" t="s">
        <v>316</v>
      </c>
      <c r="B10" s="10"/>
      <c r="C10" s="21">
        <v>3.7999999999999999E-2</v>
      </c>
      <c r="D10" s="21"/>
    </row>
    <row r="11" spans="1:4" ht="15" customHeight="1" x14ac:dyDescent="0.25">
      <c r="A11" s="16" t="s">
        <v>271</v>
      </c>
      <c r="B11" s="10"/>
      <c r="C11" s="21">
        <v>2.5000000000000001E-2</v>
      </c>
      <c r="D11" s="21"/>
    </row>
    <row r="12" spans="1:4" ht="15" customHeight="1" x14ac:dyDescent="0.25">
      <c r="A12" s="16" t="s">
        <v>353</v>
      </c>
      <c r="B12" s="10"/>
      <c r="C12" s="21">
        <v>3.7999999999999999E-2</v>
      </c>
      <c r="D12" s="21"/>
    </row>
    <row r="13" spans="1:4" ht="15" customHeight="1" x14ac:dyDescent="0.25">
      <c r="A13" s="16" t="s">
        <v>14</v>
      </c>
      <c r="B13" s="10"/>
      <c r="C13" s="21">
        <v>0.75</v>
      </c>
      <c r="D13" s="21"/>
    </row>
    <row r="14" spans="1:4" ht="15" customHeight="1" x14ac:dyDescent="0.25">
      <c r="A14" s="16" t="s">
        <v>354</v>
      </c>
      <c r="B14" s="10"/>
      <c r="C14" s="21"/>
      <c r="D14" s="21">
        <f>11/15.25</f>
        <v>0.72131147540983609</v>
      </c>
    </row>
    <row r="15" spans="1:4" ht="15" customHeight="1" x14ac:dyDescent="0.25">
      <c r="A15" s="16" t="s">
        <v>246</v>
      </c>
      <c r="B15" s="10"/>
      <c r="C15" s="21"/>
      <c r="D15" s="21">
        <f t="shared" ref="D15:D16" si="1">1.75/15.25</f>
        <v>0.11475409836065574</v>
      </c>
    </row>
    <row r="16" spans="1:4" ht="15" customHeight="1" x14ac:dyDescent="0.25">
      <c r="A16" s="16" t="s">
        <v>294</v>
      </c>
      <c r="B16" s="10"/>
      <c r="C16" s="21"/>
      <c r="D16" s="62">
        <f t="shared" si="1"/>
        <v>0.11475409836065574</v>
      </c>
    </row>
    <row r="17" spans="1:4" ht="15" customHeight="1" x14ac:dyDescent="0.25">
      <c r="A17" s="16" t="s">
        <v>154</v>
      </c>
      <c r="B17" s="10"/>
      <c r="C17" s="21"/>
      <c r="D17" s="21">
        <f>0.75/15.25</f>
        <v>4.9180327868852458E-2</v>
      </c>
    </row>
    <row r="18" spans="1:4" ht="15" customHeight="1" x14ac:dyDescent="0.25">
      <c r="A18" s="35"/>
      <c r="B18" s="13"/>
      <c r="C18" s="13"/>
      <c r="D18" s="13"/>
    </row>
    <row r="19" spans="1:4" ht="15" customHeight="1" x14ac:dyDescent="0.25">
      <c r="A19" s="4"/>
    </row>
    <row r="20" spans="1:4" ht="15" customHeight="1" x14ac:dyDescent="0.25">
      <c r="A20" s="17" t="s">
        <v>28</v>
      </c>
      <c r="B20" s="9"/>
      <c r="C20" s="9"/>
      <c r="D20" s="9"/>
    </row>
    <row r="21" spans="1:4" ht="15" customHeight="1" x14ac:dyDescent="0.25">
      <c r="A21" s="17" t="s">
        <v>113</v>
      </c>
      <c r="B21" s="19"/>
      <c r="C21" s="19"/>
      <c r="D21" s="19"/>
    </row>
    <row r="22" spans="1:4" ht="30" customHeight="1" x14ac:dyDescent="0.25">
      <c r="A22" s="18" t="s">
        <v>31</v>
      </c>
      <c r="B22" s="19" t="s">
        <v>195</v>
      </c>
      <c r="C22" s="22" t="s">
        <v>226</v>
      </c>
      <c r="D22" s="22" t="s">
        <v>226</v>
      </c>
    </row>
    <row r="23" spans="1:4" ht="15" customHeight="1" x14ac:dyDescent="0.25">
      <c r="A23" s="18" t="s">
        <v>39</v>
      </c>
      <c r="B23" s="19"/>
      <c r="C23" s="19"/>
      <c r="D23" s="19"/>
    </row>
    <row r="24" spans="1:4" ht="15" customHeight="1" x14ac:dyDescent="0.25">
      <c r="A24" s="18" t="s">
        <v>40</v>
      </c>
      <c r="B24" s="9"/>
      <c r="C24" s="20" t="s">
        <v>226</v>
      </c>
      <c r="D24" s="20"/>
    </row>
    <row r="25" spans="1:4" ht="15" customHeight="1" x14ac:dyDescent="0.25">
      <c r="A25" s="18" t="s">
        <v>41</v>
      </c>
      <c r="B25" s="9"/>
      <c r="C25" s="9"/>
      <c r="D25" s="9"/>
    </row>
    <row r="26" spans="1:4" ht="30" customHeight="1" x14ac:dyDescent="0.25">
      <c r="A26" s="18" t="s">
        <v>43</v>
      </c>
      <c r="B26" s="19" t="s">
        <v>195</v>
      </c>
      <c r="C26" s="19"/>
      <c r="D26" s="19"/>
    </row>
    <row r="27" spans="1:4" ht="15" customHeight="1" x14ac:dyDescent="0.25">
      <c r="A27" s="18" t="s">
        <v>44</v>
      </c>
      <c r="B27" s="9"/>
      <c r="C27" s="9"/>
      <c r="D27" s="9"/>
    </row>
    <row r="28" spans="1:4" ht="15" customHeight="1" x14ac:dyDescent="0.25">
      <c r="A28" s="18" t="s">
        <v>45</v>
      </c>
      <c r="B28" s="19"/>
      <c r="C28" s="22" t="s">
        <v>226</v>
      </c>
      <c r="D28" s="22"/>
    </row>
    <row r="29" spans="1:4" ht="15" customHeight="1" x14ac:dyDescent="0.25">
      <c r="A29" s="18" t="s">
        <v>52</v>
      </c>
      <c r="B29" s="19"/>
      <c r="C29" s="19"/>
      <c r="D29" s="19"/>
    </row>
    <row r="30" spans="1:4" ht="15" customHeight="1" x14ac:dyDescent="0.25">
      <c r="A30" s="4"/>
    </row>
    <row r="31" spans="1:4" ht="15" customHeight="1" x14ac:dyDescent="0.25">
      <c r="A31" s="17" t="s">
        <v>53</v>
      </c>
      <c r="B31" s="9">
        <v>1.052</v>
      </c>
      <c r="C31" s="20">
        <v>1.0629999999999999</v>
      </c>
      <c r="D31" s="20">
        <v>1.0660000000000001</v>
      </c>
    </row>
    <row r="32" spans="1:4" ht="15" customHeight="1" x14ac:dyDescent="0.25">
      <c r="A32" s="17" t="s">
        <v>55</v>
      </c>
      <c r="B32" s="24">
        <v>1.022</v>
      </c>
      <c r="C32" s="25">
        <v>1.01</v>
      </c>
      <c r="D32" s="25">
        <v>1.018</v>
      </c>
    </row>
    <row r="33" spans="1:4" ht="15" customHeight="1" x14ac:dyDescent="0.25">
      <c r="A33" s="17" t="s">
        <v>57</v>
      </c>
      <c r="B33" s="45">
        <v>153</v>
      </c>
      <c r="C33" s="37">
        <v>152</v>
      </c>
      <c r="D33" s="37">
        <v>152</v>
      </c>
    </row>
    <row r="34" spans="1:4" ht="15" customHeight="1" x14ac:dyDescent="0.25">
      <c r="A34" s="17" t="s">
        <v>58</v>
      </c>
      <c r="B34" s="24">
        <v>1028</v>
      </c>
      <c r="C34" s="25">
        <v>1056</v>
      </c>
      <c r="D34" s="25">
        <v>1028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6.5703125" customWidth="1"/>
    <col min="2" max="2" width="13.42578125" customWidth="1"/>
    <col min="3" max="3" width="12.28515625" customWidth="1"/>
    <col min="4" max="4" width="13.42578125" customWidth="1"/>
    <col min="5" max="5" width="16.5703125" customWidth="1"/>
    <col min="6" max="6" width="17.5703125" customWidth="1"/>
    <col min="7" max="7" width="13" customWidth="1"/>
    <col min="8" max="8" width="10.85546875" customWidth="1"/>
    <col min="9" max="9" width="9.85546875" customWidth="1"/>
    <col min="10" max="10" width="10.42578125" customWidth="1"/>
    <col min="11" max="11" width="10.7109375" customWidth="1"/>
  </cols>
  <sheetData>
    <row r="1" spans="1:11" ht="23.25" customHeight="1" x14ac:dyDescent="0.35">
      <c r="A1" s="3" t="s">
        <v>355</v>
      </c>
      <c r="B1" s="3"/>
      <c r="C1" s="3"/>
      <c r="D1" s="3"/>
      <c r="E1" s="3"/>
      <c r="F1" s="4"/>
      <c r="G1" s="4"/>
    </row>
    <row r="2" spans="1:11" ht="15" customHeight="1" x14ac:dyDescent="0.25">
      <c r="A2" s="4"/>
      <c r="B2" s="4"/>
      <c r="C2" s="4"/>
      <c r="D2" s="4"/>
      <c r="E2" s="4"/>
      <c r="F2" s="4"/>
      <c r="G2" s="4"/>
    </row>
    <row r="3" spans="1:11" ht="23.25" customHeight="1" x14ac:dyDescent="0.35">
      <c r="A3" s="4"/>
      <c r="B3" s="5">
        <v>2000</v>
      </c>
      <c r="C3" s="5">
        <v>2001</v>
      </c>
      <c r="D3" s="5">
        <v>2002</v>
      </c>
      <c r="E3" s="5">
        <v>2003</v>
      </c>
      <c r="F3" s="7">
        <v>2004</v>
      </c>
      <c r="G3" s="28">
        <v>2005</v>
      </c>
      <c r="H3" s="7">
        <v>2007</v>
      </c>
      <c r="I3" s="7">
        <v>2008</v>
      </c>
      <c r="J3" s="7">
        <v>2009</v>
      </c>
      <c r="K3" s="7">
        <v>2011</v>
      </c>
    </row>
    <row r="4" spans="1:11" ht="15" customHeight="1" x14ac:dyDescent="0.25">
      <c r="A4" s="8" t="s">
        <v>112</v>
      </c>
      <c r="B4" s="10"/>
      <c r="C4" s="10">
        <f>16/24.25</f>
        <v>0.65979381443298968</v>
      </c>
      <c r="D4" s="10">
        <f>20/36.5</f>
        <v>0.54794520547945202</v>
      </c>
      <c r="E4" s="10">
        <f>8/9.75</f>
        <v>0.82051282051282048</v>
      </c>
      <c r="F4" s="10">
        <f>20/28.5</f>
        <v>0.70175438596491224</v>
      </c>
      <c r="G4" s="30">
        <f>10/13</f>
        <v>0.76923076923076927</v>
      </c>
      <c r="H4" s="10"/>
      <c r="I4" s="10">
        <f>24.75/33.92</f>
        <v>0.72965801886792447</v>
      </c>
      <c r="J4" s="10"/>
      <c r="K4" s="10">
        <f>26/30</f>
        <v>0.8666666666666667</v>
      </c>
    </row>
    <row r="5" spans="1:11" ht="15" customHeight="1" x14ac:dyDescent="0.25">
      <c r="A5" s="8" t="s">
        <v>250</v>
      </c>
      <c r="B5" s="10"/>
      <c r="C5" s="10"/>
      <c r="D5" s="10"/>
      <c r="E5" s="10"/>
      <c r="F5" s="10">
        <f>4/28.5</f>
        <v>0.14035087719298245</v>
      </c>
      <c r="G5" s="30"/>
      <c r="H5" s="10"/>
      <c r="I5" s="10"/>
      <c r="J5" s="10"/>
      <c r="K5" s="10"/>
    </row>
    <row r="6" spans="1:11" ht="15" customHeight="1" x14ac:dyDescent="0.25">
      <c r="A6" s="8" t="s">
        <v>358</v>
      </c>
      <c r="B6" s="10"/>
      <c r="C6" s="10"/>
      <c r="D6" s="10"/>
      <c r="E6" s="10"/>
      <c r="F6" s="10">
        <f>2.5/28.5</f>
        <v>8.771929824561403E-2</v>
      </c>
      <c r="G6" s="30"/>
      <c r="H6" s="10"/>
      <c r="I6" s="10"/>
      <c r="J6" s="10"/>
      <c r="K6" s="10"/>
    </row>
    <row r="7" spans="1:11" ht="15" customHeight="1" x14ac:dyDescent="0.25">
      <c r="A7" s="8" t="s">
        <v>154</v>
      </c>
      <c r="B7" s="10">
        <f>1.5/28.5</f>
        <v>5.2631578947368418E-2</v>
      </c>
      <c r="C7" s="10">
        <f>1.25/24.25</f>
        <v>5.1546391752577317E-2</v>
      </c>
      <c r="D7" s="10"/>
      <c r="E7" s="10"/>
      <c r="F7" s="10">
        <f t="shared" ref="F7:F8" si="0">1/28.5</f>
        <v>3.5087719298245612E-2</v>
      </c>
      <c r="G7" s="30">
        <f t="shared" ref="G7:G9" si="1">1/13</f>
        <v>7.6923076923076927E-2</v>
      </c>
      <c r="H7" s="10">
        <f>0.25/13</f>
        <v>1.9230769230769232E-2</v>
      </c>
      <c r="I7" s="10">
        <f>0.92/33.92</f>
        <v>2.7122641509433963E-2</v>
      </c>
      <c r="J7" s="10"/>
      <c r="K7" s="10"/>
    </row>
    <row r="8" spans="1:11" ht="15" customHeight="1" x14ac:dyDescent="0.25">
      <c r="A8" s="8" t="s">
        <v>155</v>
      </c>
      <c r="B8" s="10">
        <f>1/28.5</f>
        <v>3.5087719298245612E-2</v>
      </c>
      <c r="C8" s="10">
        <f>2/24.25</f>
        <v>8.247422680412371E-2</v>
      </c>
      <c r="D8" s="10">
        <f>3/36.5</f>
        <v>8.2191780821917804E-2</v>
      </c>
      <c r="E8" s="10">
        <f>0.5/9.75</f>
        <v>5.128205128205128E-2</v>
      </c>
      <c r="F8" s="10">
        <f t="shared" si="0"/>
        <v>3.5087719298245612E-2</v>
      </c>
      <c r="G8" s="30">
        <f t="shared" si="1"/>
        <v>7.6923076923076927E-2</v>
      </c>
      <c r="H8" s="10">
        <f>1.25/13</f>
        <v>9.6153846153846159E-2</v>
      </c>
      <c r="I8" s="10">
        <f>1.83/33.92</f>
        <v>5.3950471698113206E-2</v>
      </c>
      <c r="J8" s="10">
        <f>1.25/12.75</f>
        <v>9.8039215686274508E-2</v>
      </c>
      <c r="K8" s="10">
        <f>2.5/30</f>
        <v>8.3333333333333329E-2</v>
      </c>
    </row>
    <row r="9" spans="1:11" ht="15" customHeight="1" x14ac:dyDescent="0.25">
      <c r="A9" s="8" t="s">
        <v>165</v>
      </c>
      <c r="B9" s="10"/>
      <c r="C9" s="10"/>
      <c r="D9" s="10"/>
      <c r="E9" s="10"/>
      <c r="F9" s="10"/>
      <c r="G9" s="30">
        <f t="shared" si="1"/>
        <v>7.6923076923076927E-2</v>
      </c>
      <c r="H9" s="10"/>
      <c r="I9" s="10"/>
      <c r="J9" s="10"/>
      <c r="K9" s="10"/>
    </row>
    <row r="10" spans="1:11" ht="15" customHeight="1" x14ac:dyDescent="0.25">
      <c r="A10" s="64" t="s">
        <v>214</v>
      </c>
      <c r="B10" s="10">
        <f>19/28.5</f>
        <v>0.66666666666666663</v>
      </c>
      <c r="C10" s="10"/>
      <c r="D10" s="10"/>
      <c r="E10" s="10"/>
      <c r="F10" s="10"/>
      <c r="G10" s="30"/>
      <c r="H10" s="10">
        <f>8/13</f>
        <v>0.61538461538461542</v>
      </c>
      <c r="I10" s="10"/>
      <c r="J10" s="10">
        <f>8/12.75</f>
        <v>0.62745098039215685</v>
      </c>
      <c r="K10" s="10"/>
    </row>
    <row r="11" spans="1:11" ht="15" customHeight="1" x14ac:dyDescent="0.25">
      <c r="A11" s="8" t="s">
        <v>163</v>
      </c>
      <c r="B11" s="10"/>
      <c r="C11" s="10"/>
      <c r="D11" s="10"/>
      <c r="E11" s="10"/>
      <c r="F11" s="10"/>
      <c r="G11" s="30"/>
      <c r="H11" s="10">
        <f>2/13</f>
        <v>0.15384615384615385</v>
      </c>
      <c r="I11" s="10"/>
      <c r="J11" s="10"/>
      <c r="K11" s="10"/>
    </row>
    <row r="12" spans="1:11" ht="15" customHeight="1" x14ac:dyDescent="0.25">
      <c r="A12" s="8" t="s">
        <v>285</v>
      </c>
      <c r="B12" s="10"/>
      <c r="C12" s="10"/>
      <c r="D12" s="10"/>
      <c r="E12" s="10"/>
      <c r="F12" s="10"/>
      <c r="G12" s="30"/>
      <c r="H12" s="10">
        <f>0.75/13</f>
        <v>5.7692307692307696E-2</v>
      </c>
      <c r="I12" s="10"/>
      <c r="J12" s="10"/>
      <c r="K12" s="10"/>
    </row>
    <row r="13" spans="1:11" ht="15" customHeight="1" x14ac:dyDescent="0.25">
      <c r="A13" s="8" t="s">
        <v>167</v>
      </c>
      <c r="B13" s="10"/>
      <c r="C13" s="10"/>
      <c r="D13" s="10">
        <f>1/36.5</f>
        <v>2.7397260273972601E-2</v>
      </c>
      <c r="E13" s="10"/>
      <c r="F13" s="10"/>
      <c r="G13" s="30"/>
      <c r="H13" s="10">
        <f>0.5/13</f>
        <v>3.8461538461538464E-2</v>
      </c>
      <c r="I13" s="10"/>
      <c r="J13" s="10"/>
      <c r="K13" s="10"/>
    </row>
    <row r="14" spans="1:11" ht="15" customHeight="1" x14ac:dyDescent="0.25">
      <c r="A14" s="8" t="s">
        <v>271</v>
      </c>
      <c r="B14" s="10"/>
      <c r="C14" s="10">
        <f>0.5/24.25</f>
        <v>2.0618556701030927E-2</v>
      </c>
      <c r="D14" s="10">
        <f>5.5/36.5</f>
        <v>0.15068493150684931</v>
      </c>
      <c r="E14" s="10">
        <f>0.5/9.75</f>
        <v>5.128205128205128E-2</v>
      </c>
      <c r="F14" s="10"/>
      <c r="G14" s="30"/>
      <c r="H14" s="10">
        <f>0.25/13</f>
        <v>1.9230769230769232E-2</v>
      </c>
      <c r="I14" s="10"/>
      <c r="J14" s="10"/>
      <c r="K14" s="10"/>
    </row>
    <row r="15" spans="1:11" ht="15" customHeight="1" x14ac:dyDescent="0.25">
      <c r="A15" s="8" t="s">
        <v>82</v>
      </c>
      <c r="B15" s="10"/>
      <c r="C15" s="10"/>
      <c r="D15" s="10"/>
      <c r="E15" s="10"/>
      <c r="F15" s="10"/>
      <c r="G15" s="30"/>
      <c r="H15" s="10"/>
      <c r="I15" s="10">
        <f t="shared" ref="I15:I16" si="2">3.21/33.92</f>
        <v>9.4634433962264147E-2</v>
      </c>
      <c r="J15" s="10"/>
      <c r="K15" s="10"/>
    </row>
    <row r="16" spans="1:11" ht="15" customHeight="1" x14ac:dyDescent="0.25">
      <c r="A16" s="8" t="s">
        <v>128</v>
      </c>
      <c r="B16" s="10"/>
      <c r="C16" s="10"/>
      <c r="D16" s="10"/>
      <c r="E16" s="10"/>
      <c r="F16" s="10"/>
      <c r="G16" s="30"/>
      <c r="H16" s="10"/>
      <c r="I16" s="10">
        <f t="shared" si="2"/>
        <v>9.4634433962264147E-2</v>
      </c>
      <c r="J16" s="10"/>
      <c r="K16" s="10"/>
    </row>
    <row r="17" spans="1:11" ht="15" customHeight="1" x14ac:dyDescent="0.25">
      <c r="A17" s="8" t="s">
        <v>24</v>
      </c>
      <c r="B17" s="10"/>
      <c r="C17" s="10"/>
      <c r="D17" s="10"/>
      <c r="E17" s="10"/>
      <c r="F17" s="10"/>
      <c r="G17" s="30"/>
      <c r="H17" s="10"/>
      <c r="I17" s="10"/>
      <c r="J17" s="10">
        <f t="shared" ref="J17:J19" si="3">1/12.75</f>
        <v>7.8431372549019607E-2</v>
      </c>
      <c r="K17" s="10"/>
    </row>
    <row r="18" spans="1:11" ht="15" customHeight="1" x14ac:dyDescent="0.25">
      <c r="A18" s="8" t="s">
        <v>153</v>
      </c>
      <c r="B18" s="10"/>
      <c r="C18" s="10"/>
      <c r="D18" s="10"/>
      <c r="E18" s="10"/>
      <c r="F18" s="10"/>
      <c r="G18" s="30"/>
      <c r="H18" s="10"/>
      <c r="I18" s="10"/>
      <c r="J18" s="10">
        <f t="shared" si="3"/>
        <v>7.8431372549019607E-2</v>
      </c>
      <c r="K18" s="10"/>
    </row>
    <row r="19" spans="1:11" ht="15" customHeight="1" x14ac:dyDescent="0.25">
      <c r="A19" s="8" t="s">
        <v>294</v>
      </c>
      <c r="B19" s="10">
        <f>3/28.5</f>
        <v>0.10526315789473684</v>
      </c>
      <c r="C19" s="10"/>
      <c r="D19" s="10"/>
      <c r="E19" s="10"/>
      <c r="F19" s="10"/>
      <c r="G19" s="30"/>
      <c r="H19" s="10"/>
      <c r="I19" s="10"/>
      <c r="J19" s="10">
        <f t="shared" si="3"/>
        <v>7.8431372549019607E-2</v>
      </c>
      <c r="K19" s="10"/>
    </row>
    <row r="20" spans="1:11" ht="15" customHeight="1" x14ac:dyDescent="0.25">
      <c r="A20" s="8" t="s">
        <v>315</v>
      </c>
      <c r="B20" s="10"/>
      <c r="C20" s="10"/>
      <c r="D20" s="10"/>
      <c r="E20" s="10"/>
      <c r="F20" s="10"/>
      <c r="G20" s="30"/>
      <c r="H20" s="10"/>
      <c r="I20" s="10"/>
      <c r="J20" s="10">
        <f>0.5/12.75</f>
        <v>3.9215686274509803E-2</v>
      </c>
      <c r="K20" s="10"/>
    </row>
    <row r="21" spans="1:11" ht="15" customHeight="1" x14ac:dyDescent="0.25">
      <c r="A21" s="8" t="s">
        <v>134</v>
      </c>
      <c r="B21" s="10"/>
      <c r="C21" s="10"/>
      <c r="D21" s="10"/>
      <c r="E21" s="10">
        <f>0.75/9.75</f>
        <v>7.6923076923076927E-2</v>
      </c>
      <c r="F21" s="10"/>
      <c r="G21" s="30"/>
      <c r="H21" s="10"/>
      <c r="I21" s="10"/>
      <c r="J21" s="10"/>
      <c r="K21" s="10">
        <f>1.5/30</f>
        <v>0.05</v>
      </c>
    </row>
    <row r="22" spans="1:11" ht="15" customHeight="1" x14ac:dyDescent="0.25">
      <c r="A22" s="16" t="s">
        <v>369</v>
      </c>
      <c r="B22" s="10">
        <f>3/28.5</f>
        <v>0.10526315789473684</v>
      </c>
      <c r="C22" s="10"/>
      <c r="D22" s="10"/>
      <c r="E22" s="10"/>
      <c r="F22" s="10"/>
      <c r="G22" s="30"/>
      <c r="H22" s="10"/>
      <c r="I22" s="10"/>
      <c r="J22" s="10"/>
      <c r="K22" s="10"/>
    </row>
    <row r="23" spans="1:11" ht="15" customHeight="1" x14ac:dyDescent="0.25">
      <c r="A23" s="16" t="s">
        <v>137</v>
      </c>
      <c r="B23" s="10">
        <f>1/28.5</f>
        <v>3.5087719298245612E-2</v>
      </c>
      <c r="C23" s="10">
        <f>2.5/24.25</f>
        <v>0.10309278350515463</v>
      </c>
      <c r="D23" s="10">
        <f>1/36.5</f>
        <v>2.7397260273972601E-2</v>
      </c>
      <c r="E23" s="10"/>
      <c r="F23" s="10"/>
      <c r="G23" s="30"/>
      <c r="H23" s="10"/>
      <c r="I23" s="10"/>
      <c r="J23" s="10"/>
      <c r="K23" s="10"/>
    </row>
    <row r="24" spans="1:11" ht="15" customHeight="1" x14ac:dyDescent="0.25">
      <c r="A24" s="16" t="s">
        <v>38</v>
      </c>
      <c r="B24" s="10"/>
      <c r="C24" s="10">
        <f t="shared" ref="C24:C25" si="4">1/24.25</f>
        <v>4.1237113402061855E-2</v>
      </c>
      <c r="D24" s="10"/>
      <c r="E24" s="10"/>
      <c r="F24" s="10"/>
      <c r="G24" s="30"/>
      <c r="H24" s="10"/>
      <c r="I24" s="10"/>
      <c r="J24" s="10"/>
      <c r="K24" s="10"/>
    </row>
    <row r="25" spans="1:11" ht="15" customHeight="1" x14ac:dyDescent="0.25">
      <c r="A25" s="16" t="s">
        <v>17</v>
      </c>
      <c r="B25" s="10"/>
      <c r="C25" s="10">
        <f t="shared" si="4"/>
        <v>4.1237113402061855E-2</v>
      </c>
      <c r="D25" s="10"/>
      <c r="E25" s="10"/>
      <c r="F25" s="10"/>
      <c r="G25" s="30"/>
      <c r="H25" s="10"/>
      <c r="I25" s="10"/>
      <c r="J25" s="10"/>
      <c r="K25" s="10"/>
    </row>
    <row r="26" spans="1:11" ht="15" customHeight="1" x14ac:dyDescent="0.25">
      <c r="A26" s="16" t="s">
        <v>123</v>
      </c>
      <c r="B26" s="10"/>
      <c r="C26" s="10"/>
      <c r="D26" s="10">
        <f>3/36.5</f>
        <v>8.2191780821917804E-2</v>
      </c>
      <c r="E26" s="10"/>
      <c r="F26" s="10"/>
      <c r="G26" s="30"/>
      <c r="H26" s="10"/>
      <c r="I26" s="10"/>
      <c r="J26" s="10"/>
      <c r="K26" s="10"/>
    </row>
    <row r="27" spans="1:11" ht="15" customHeight="1" x14ac:dyDescent="0.25">
      <c r="A27" s="16" t="s">
        <v>34</v>
      </c>
      <c r="B27" s="10"/>
      <c r="C27" s="10"/>
      <c r="D27" s="10">
        <f>2/36.5</f>
        <v>5.4794520547945202E-2</v>
      </c>
      <c r="E27" s="10"/>
      <c r="F27" s="10"/>
      <c r="G27" s="30"/>
      <c r="H27" s="10"/>
      <c r="I27" s="10"/>
      <c r="J27" s="10"/>
      <c r="K27" s="10"/>
    </row>
    <row r="28" spans="1:11" ht="15" customHeight="1" x14ac:dyDescent="0.25">
      <c r="A28" s="16" t="s">
        <v>292</v>
      </c>
      <c r="B28" s="10"/>
      <c r="C28" s="10"/>
      <c r="D28" s="10">
        <f>1/36.5</f>
        <v>2.7397260273972601E-2</v>
      </c>
      <c r="E28" s="10"/>
      <c r="F28" s="10"/>
      <c r="G28" s="30"/>
      <c r="H28" s="10"/>
      <c r="I28" s="10"/>
      <c r="J28" s="10"/>
      <c r="K28" s="10"/>
    </row>
    <row r="29" spans="1:11" ht="15" customHeight="1" x14ac:dyDescent="0.25">
      <c r="A29" s="35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15" customHeight="1" x14ac:dyDescent="0.25">
      <c r="A30" s="4"/>
      <c r="B30" s="4"/>
      <c r="C30" s="4"/>
      <c r="D30" s="4"/>
      <c r="E30" s="4"/>
      <c r="F30" s="4"/>
      <c r="G30" s="4"/>
    </row>
    <row r="31" spans="1:11" ht="30" customHeight="1" x14ac:dyDescent="0.25">
      <c r="A31" s="17" t="s">
        <v>28</v>
      </c>
      <c r="B31" s="9"/>
      <c r="C31" s="9"/>
      <c r="D31" s="9"/>
      <c r="E31" s="9"/>
      <c r="F31" s="9"/>
      <c r="G31" s="31"/>
      <c r="H31" s="9"/>
      <c r="I31" s="9"/>
      <c r="J31" s="19" t="s">
        <v>195</v>
      </c>
      <c r="K31" s="9"/>
    </row>
    <row r="32" spans="1:11" ht="30" customHeight="1" x14ac:dyDescent="0.25">
      <c r="A32" s="17" t="s">
        <v>96</v>
      </c>
      <c r="B32" s="9"/>
      <c r="C32" s="9"/>
      <c r="D32" s="46" t="s">
        <v>195</v>
      </c>
      <c r="E32" s="20"/>
      <c r="F32" s="9"/>
      <c r="G32" s="32" t="s">
        <v>195</v>
      </c>
      <c r="H32" s="9"/>
      <c r="I32" s="9"/>
      <c r="J32" s="9"/>
      <c r="K32" s="9"/>
    </row>
    <row r="33" spans="1:11" ht="30" customHeight="1" x14ac:dyDescent="0.25">
      <c r="A33" s="17" t="s">
        <v>113</v>
      </c>
      <c r="B33" s="19"/>
      <c r="C33" s="19"/>
      <c r="D33" s="19"/>
      <c r="E33" s="19"/>
      <c r="F33" s="19"/>
      <c r="G33" s="32" t="s">
        <v>195</v>
      </c>
      <c r="H33" s="9"/>
      <c r="I33" s="9"/>
      <c r="J33" s="9"/>
      <c r="K33" s="9"/>
    </row>
    <row r="34" spans="1:11" ht="15" customHeight="1" x14ac:dyDescent="0.25">
      <c r="A34" s="18" t="s">
        <v>31</v>
      </c>
      <c r="B34" s="22" t="s">
        <v>142</v>
      </c>
      <c r="C34" s="22" t="s">
        <v>170</v>
      </c>
      <c r="D34" s="19"/>
      <c r="E34" s="22" t="s">
        <v>170</v>
      </c>
      <c r="F34" s="19" t="s">
        <v>223</v>
      </c>
      <c r="G34" s="23"/>
      <c r="H34" s="32" t="s">
        <v>320</v>
      </c>
      <c r="I34" s="19" t="s">
        <v>98</v>
      </c>
      <c r="J34" s="32" t="s">
        <v>303</v>
      </c>
      <c r="K34" s="19" t="s">
        <v>50</v>
      </c>
    </row>
    <row r="35" spans="1:11" ht="15" customHeight="1" x14ac:dyDescent="0.25">
      <c r="A35" s="18" t="s">
        <v>39</v>
      </c>
      <c r="B35" s="19"/>
      <c r="C35" s="19"/>
      <c r="D35" s="19"/>
      <c r="E35" s="19"/>
      <c r="F35" s="19"/>
      <c r="G35" s="32" t="s">
        <v>196</v>
      </c>
      <c r="H35" s="19"/>
      <c r="I35" s="19"/>
      <c r="J35" s="19"/>
      <c r="K35" s="19"/>
    </row>
    <row r="36" spans="1:11" ht="31.5" customHeight="1" x14ac:dyDescent="0.25">
      <c r="A36" s="18" t="s">
        <v>40</v>
      </c>
      <c r="B36" s="20" t="s">
        <v>196</v>
      </c>
      <c r="C36" s="46" t="s">
        <v>170</v>
      </c>
      <c r="D36" s="9"/>
      <c r="E36" s="20" t="s">
        <v>722</v>
      </c>
      <c r="F36" s="9" t="s">
        <v>374</v>
      </c>
      <c r="G36" s="32" t="s">
        <v>196</v>
      </c>
      <c r="H36" s="9"/>
      <c r="I36" s="19"/>
      <c r="J36" s="9"/>
      <c r="K36" s="19" t="s">
        <v>50</v>
      </c>
    </row>
    <row r="37" spans="1:11" ht="15" customHeight="1" x14ac:dyDescent="0.25">
      <c r="A37" s="18" t="s">
        <v>41</v>
      </c>
      <c r="B37" s="9"/>
      <c r="C37" s="20" t="s">
        <v>241</v>
      </c>
      <c r="D37" s="20" t="s">
        <v>243</v>
      </c>
      <c r="E37" s="20" t="s">
        <v>206</v>
      </c>
      <c r="F37" s="9"/>
      <c r="G37" s="32" t="s">
        <v>196</v>
      </c>
      <c r="H37" s="19"/>
      <c r="I37" s="19"/>
      <c r="J37" s="19"/>
      <c r="K37" s="19"/>
    </row>
    <row r="38" spans="1:11" ht="30" customHeight="1" x14ac:dyDescent="0.25">
      <c r="A38" s="18" t="s">
        <v>43</v>
      </c>
      <c r="B38" s="46" t="s">
        <v>195</v>
      </c>
      <c r="C38" s="9"/>
      <c r="D38" s="9"/>
      <c r="E38" s="9"/>
      <c r="F38" s="9"/>
      <c r="G38" s="32"/>
      <c r="H38" s="19"/>
      <c r="I38" s="19"/>
      <c r="J38" s="19" t="s">
        <v>195</v>
      </c>
      <c r="K38" s="19"/>
    </row>
    <row r="39" spans="1:11" ht="15" customHeight="1" x14ac:dyDescent="0.25">
      <c r="A39" s="18" t="s">
        <v>44</v>
      </c>
      <c r="B39" s="9"/>
      <c r="C39" s="9"/>
      <c r="D39" s="9"/>
      <c r="E39" s="9"/>
      <c r="F39" s="9"/>
      <c r="G39" s="32"/>
      <c r="H39" s="19"/>
      <c r="I39" s="19"/>
      <c r="J39" s="19"/>
      <c r="K39" s="19" t="s">
        <v>206</v>
      </c>
    </row>
    <row r="40" spans="1:11" ht="15" customHeight="1" x14ac:dyDescent="0.25">
      <c r="A40" s="18" t="s">
        <v>45</v>
      </c>
      <c r="B40" s="22" t="s">
        <v>195</v>
      </c>
      <c r="C40" s="22" t="s">
        <v>241</v>
      </c>
      <c r="D40" s="19"/>
      <c r="E40" s="19"/>
      <c r="F40" s="19" t="s">
        <v>374</v>
      </c>
      <c r="G40" s="32"/>
      <c r="H40" s="19" t="s">
        <v>206</v>
      </c>
      <c r="I40" s="19" t="s">
        <v>137</v>
      </c>
      <c r="J40" s="19"/>
      <c r="K40" s="19"/>
    </row>
    <row r="41" spans="1:11" ht="15" customHeight="1" x14ac:dyDescent="0.25">
      <c r="A41" s="18" t="s">
        <v>52</v>
      </c>
      <c r="B41" s="19"/>
      <c r="C41" s="19"/>
      <c r="D41" s="19"/>
      <c r="E41" s="19"/>
      <c r="F41" s="19"/>
      <c r="G41" s="32"/>
      <c r="H41" s="19"/>
      <c r="I41" s="19"/>
      <c r="J41" s="19"/>
      <c r="K41" s="19"/>
    </row>
    <row r="42" spans="1:11" ht="15" customHeight="1" x14ac:dyDescent="0.25">
      <c r="A42" s="4"/>
      <c r="B42" s="4"/>
      <c r="C42" s="4"/>
      <c r="D42" s="4"/>
      <c r="E42" s="4"/>
      <c r="F42" s="4"/>
      <c r="G42" s="4"/>
    </row>
    <row r="43" spans="1:11" ht="15" customHeight="1" x14ac:dyDescent="0.25">
      <c r="A43" s="17" t="s">
        <v>53</v>
      </c>
      <c r="B43" s="20">
        <v>1.07</v>
      </c>
      <c r="C43" s="20">
        <v>1.071</v>
      </c>
      <c r="D43" s="20">
        <v>1.08</v>
      </c>
      <c r="E43" s="20">
        <v>1.0549999999999999</v>
      </c>
      <c r="F43" s="9">
        <v>1.0680000000000001</v>
      </c>
      <c r="G43" s="31">
        <v>1.0660000000000001</v>
      </c>
      <c r="H43" s="9">
        <v>1.0680000000000001</v>
      </c>
      <c r="I43" s="9">
        <v>1.0640000000000001</v>
      </c>
      <c r="J43" s="9">
        <v>1.0609999999999999</v>
      </c>
      <c r="K43" s="9">
        <v>1.069</v>
      </c>
    </row>
    <row r="44" spans="1:11" ht="15" customHeight="1" x14ac:dyDescent="0.25">
      <c r="A44" s="17" t="s">
        <v>55</v>
      </c>
      <c r="B44" s="25">
        <v>1.024</v>
      </c>
      <c r="C44" s="25">
        <v>1.0209999999999999</v>
      </c>
      <c r="D44" s="25" t="s">
        <v>106</v>
      </c>
      <c r="E44" s="25">
        <v>1.012</v>
      </c>
      <c r="F44" s="24">
        <v>1.02</v>
      </c>
      <c r="G44" s="31">
        <v>1.0149999999999999</v>
      </c>
      <c r="H44" s="9">
        <v>1.024</v>
      </c>
      <c r="I44" s="9">
        <v>1.012</v>
      </c>
      <c r="J44" s="24" t="s">
        <v>106</v>
      </c>
      <c r="K44" s="9">
        <v>1.012</v>
      </c>
    </row>
    <row r="45" spans="1:11" ht="15" customHeight="1" x14ac:dyDescent="0.25">
      <c r="A45" s="17" t="s">
        <v>57</v>
      </c>
      <c r="B45" s="37">
        <v>152</v>
      </c>
      <c r="C45" s="37">
        <v>154</v>
      </c>
      <c r="D45" s="37">
        <v>153</v>
      </c>
      <c r="E45" s="37">
        <v>150</v>
      </c>
      <c r="F45" s="45" t="s">
        <v>375</v>
      </c>
      <c r="G45" s="34" t="s">
        <v>376</v>
      </c>
      <c r="H45" s="24">
        <v>154</v>
      </c>
      <c r="I45" s="9">
        <v>152</v>
      </c>
      <c r="J45" s="24">
        <v>151</v>
      </c>
      <c r="K45" s="9">
        <v>156</v>
      </c>
    </row>
    <row r="46" spans="1:11" ht="15" customHeight="1" x14ac:dyDescent="0.25">
      <c r="A46" s="17" t="s">
        <v>58</v>
      </c>
      <c r="B46" s="25" t="s">
        <v>377</v>
      </c>
      <c r="C46" s="25">
        <v>1056</v>
      </c>
      <c r="D46" s="25">
        <v>1028</v>
      </c>
      <c r="E46" s="25">
        <v>1056</v>
      </c>
      <c r="F46" s="24">
        <v>1056</v>
      </c>
      <c r="G46" s="34" t="s">
        <v>199</v>
      </c>
      <c r="H46" s="24">
        <v>1318</v>
      </c>
      <c r="I46" s="24" t="s">
        <v>199</v>
      </c>
      <c r="J46" s="24">
        <v>1318</v>
      </c>
      <c r="K46" s="24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A3" sqref="A3"/>
    </sheetView>
  </sheetViews>
  <sheetFormatPr defaultColWidth="15.140625" defaultRowHeight="15.75" customHeight="1" x14ac:dyDescent="0.25"/>
  <cols>
    <col min="1" max="1" width="15" customWidth="1"/>
    <col min="2" max="2" width="11.7109375" customWidth="1"/>
    <col min="3" max="3" width="12.5703125" customWidth="1"/>
    <col min="4" max="4" width="11.5703125" customWidth="1"/>
    <col min="5" max="5" width="7.5703125" customWidth="1"/>
    <col min="6" max="6" width="7.140625" customWidth="1"/>
  </cols>
  <sheetData>
    <row r="1" spans="1:5" ht="23.25" customHeight="1" x14ac:dyDescent="0.35">
      <c r="A1" s="3" t="s">
        <v>15</v>
      </c>
      <c r="B1" s="4"/>
      <c r="C1" s="4"/>
    </row>
    <row r="2" spans="1:5" ht="15" customHeight="1" x14ac:dyDescent="0.25">
      <c r="A2" s="4"/>
      <c r="B2" s="4"/>
      <c r="C2" s="4"/>
    </row>
    <row r="3" spans="1:5" ht="23.25" customHeight="1" x14ac:dyDescent="0.35">
      <c r="A3" s="4"/>
      <c r="B3" s="7">
        <v>2004</v>
      </c>
      <c r="C3" s="7">
        <v>2005</v>
      </c>
      <c r="D3" s="5">
        <v>2015</v>
      </c>
      <c r="E3" s="11"/>
    </row>
    <row r="4" spans="1:5" ht="15" customHeight="1" x14ac:dyDescent="0.25">
      <c r="A4" s="8" t="s">
        <v>14</v>
      </c>
      <c r="B4" s="10">
        <f>28/38.75</f>
        <v>0.72258064516129028</v>
      </c>
      <c r="C4" s="10">
        <f>85/100.25</f>
        <v>0.84788029925187036</v>
      </c>
      <c r="D4" s="10">
        <f>8.4/9.65</f>
        <v>0.8704663212435233</v>
      </c>
      <c r="E4" s="13"/>
    </row>
    <row r="5" spans="1:5" ht="15" customHeight="1" x14ac:dyDescent="0.25">
      <c r="A5" s="8" t="s">
        <v>17</v>
      </c>
      <c r="B5" s="10">
        <f>0.75/38.75</f>
        <v>1.935483870967742E-2</v>
      </c>
      <c r="C5" s="10"/>
      <c r="D5" s="10"/>
      <c r="E5" s="13"/>
    </row>
    <row r="6" spans="1:5" ht="15" customHeight="1" x14ac:dyDescent="0.25">
      <c r="A6" s="8" t="s">
        <v>19</v>
      </c>
      <c r="B6" s="10"/>
      <c r="C6" s="10">
        <f>10/100.25</f>
        <v>9.9750623441396513E-2</v>
      </c>
      <c r="D6" s="10"/>
      <c r="E6" s="13"/>
    </row>
    <row r="7" spans="1:5" ht="15" customHeight="1" x14ac:dyDescent="0.25">
      <c r="A7" s="8" t="s">
        <v>20</v>
      </c>
      <c r="B7" s="10">
        <f>10/38.75</f>
        <v>0.25806451612903225</v>
      </c>
      <c r="C7" s="10"/>
      <c r="D7" s="10"/>
      <c r="E7" s="13"/>
    </row>
    <row r="8" spans="1:5" ht="15" customHeight="1" x14ac:dyDescent="0.25">
      <c r="A8" s="8" t="s">
        <v>21</v>
      </c>
      <c r="B8" s="10"/>
      <c r="C8" s="10">
        <f>5/100.25</f>
        <v>4.9875311720698257E-2</v>
      </c>
      <c r="D8" s="10"/>
      <c r="E8" s="13"/>
    </row>
    <row r="9" spans="1:5" ht="15" customHeight="1" x14ac:dyDescent="0.25">
      <c r="A9" s="8" t="s">
        <v>24</v>
      </c>
      <c r="B9" s="10"/>
      <c r="C9" s="10">
        <f>0.25/100.25</f>
        <v>2.4937655860349127E-3</v>
      </c>
      <c r="D9" s="10"/>
      <c r="E9" s="13"/>
    </row>
    <row r="10" spans="1:5" ht="15" customHeight="1" x14ac:dyDescent="0.25">
      <c r="A10" s="8" t="s">
        <v>25</v>
      </c>
      <c r="B10" s="10"/>
      <c r="C10" s="10"/>
      <c r="D10" s="10">
        <f>1.25/9.65</f>
        <v>0.12953367875647667</v>
      </c>
      <c r="E10" s="15"/>
    </row>
    <row r="11" spans="1:5" ht="15" customHeight="1" x14ac:dyDescent="0.25">
      <c r="A11" s="4"/>
      <c r="B11" s="4"/>
      <c r="C11" s="4"/>
      <c r="D11" s="15"/>
      <c r="E11" s="15"/>
    </row>
    <row r="12" spans="1:5" ht="15" customHeight="1" x14ac:dyDescent="0.25">
      <c r="A12" s="4"/>
      <c r="B12" s="4"/>
      <c r="C12" s="4"/>
      <c r="D12" s="15"/>
      <c r="E12" s="15"/>
    </row>
    <row r="13" spans="1:5" ht="15" customHeight="1" x14ac:dyDescent="0.25">
      <c r="A13" s="4"/>
      <c r="B13" s="4" t="s">
        <v>27</v>
      </c>
      <c r="C13" s="4"/>
      <c r="D13" s="15"/>
      <c r="E13" s="15"/>
    </row>
    <row r="14" spans="1:5" ht="15" customHeight="1" x14ac:dyDescent="0.25">
      <c r="A14" s="4"/>
      <c r="B14" s="4"/>
      <c r="C14" s="4"/>
      <c r="D14" s="15"/>
      <c r="E14" s="15"/>
    </row>
    <row r="15" spans="1:5" ht="15" customHeight="1" x14ac:dyDescent="0.25">
      <c r="A15" s="17" t="s">
        <v>28</v>
      </c>
      <c r="B15" s="9"/>
      <c r="C15" s="9"/>
      <c r="D15" s="9"/>
      <c r="E15" s="15"/>
    </row>
    <row r="16" spans="1:5" ht="60" customHeight="1" x14ac:dyDescent="0.25">
      <c r="A16" s="18" t="s">
        <v>31</v>
      </c>
      <c r="B16" s="19" t="s">
        <v>33</v>
      </c>
      <c r="C16" s="9" t="s">
        <v>36</v>
      </c>
      <c r="D16" s="20" t="s">
        <v>36</v>
      </c>
      <c r="E16" s="15"/>
    </row>
    <row r="17" spans="1:5" ht="15" customHeight="1" x14ac:dyDescent="0.25">
      <c r="A17" s="18" t="s">
        <v>39</v>
      </c>
      <c r="B17" s="9"/>
      <c r="C17" s="19"/>
      <c r="D17" s="19"/>
      <c r="E17" s="15"/>
    </row>
    <row r="18" spans="1:5" ht="15" customHeight="1" x14ac:dyDescent="0.25">
      <c r="A18" s="18" t="s">
        <v>40</v>
      </c>
      <c r="B18" s="9"/>
      <c r="C18" s="19"/>
      <c r="D18" s="19"/>
      <c r="E18" s="15"/>
    </row>
    <row r="19" spans="1:5" ht="15" customHeight="1" x14ac:dyDescent="0.25">
      <c r="A19" s="18" t="s">
        <v>41</v>
      </c>
      <c r="B19" s="9" t="s">
        <v>42</v>
      </c>
      <c r="C19" s="19"/>
      <c r="D19" s="19"/>
      <c r="E19" s="15"/>
    </row>
    <row r="20" spans="1:5" ht="15" customHeight="1" x14ac:dyDescent="0.25">
      <c r="A20" s="18" t="s">
        <v>43</v>
      </c>
      <c r="B20" s="9"/>
      <c r="C20" s="19"/>
      <c r="D20" s="19"/>
      <c r="E20" s="15"/>
    </row>
    <row r="21" spans="1:5" ht="15" customHeight="1" x14ac:dyDescent="0.25">
      <c r="A21" s="18" t="s">
        <v>44</v>
      </c>
      <c r="B21" s="9"/>
      <c r="C21" s="19"/>
      <c r="D21" s="19"/>
      <c r="E21" s="15"/>
    </row>
    <row r="22" spans="1:5" ht="15" customHeight="1" x14ac:dyDescent="0.25">
      <c r="A22" s="18" t="s">
        <v>45</v>
      </c>
      <c r="B22" s="9"/>
      <c r="C22" s="19"/>
      <c r="D22" s="22" t="s">
        <v>36</v>
      </c>
      <c r="E22" s="23"/>
    </row>
    <row r="23" spans="1:5" ht="15" customHeight="1" x14ac:dyDescent="0.25">
      <c r="A23" s="18" t="s">
        <v>52</v>
      </c>
      <c r="B23" s="9"/>
      <c r="C23" s="19"/>
      <c r="D23" s="19"/>
      <c r="E23" s="15"/>
    </row>
    <row r="24" spans="1:5" ht="15" customHeight="1" x14ac:dyDescent="0.25">
      <c r="A24" s="4"/>
      <c r="B24" s="4"/>
      <c r="C24" s="4"/>
      <c r="D24" s="4"/>
      <c r="E24" s="15"/>
    </row>
    <row r="25" spans="1:5" ht="15" customHeight="1" x14ac:dyDescent="0.25">
      <c r="A25" s="17" t="s">
        <v>53</v>
      </c>
      <c r="B25" s="9">
        <v>1.048</v>
      </c>
      <c r="C25" s="9">
        <v>1.04</v>
      </c>
      <c r="D25" s="20">
        <v>1.05</v>
      </c>
      <c r="E25" s="15"/>
    </row>
    <row r="26" spans="1:5" ht="15" customHeight="1" x14ac:dyDescent="0.25">
      <c r="A26" s="17" t="s">
        <v>55</v>
      </c>
      <c r="B26" s="9">
        <v>1.01</v>
      </c>
      <c r="C26" s="9">
        <v>1.0069999999999999</v>
      </c>
      <c r="D26" s="20">
        <v>1.01</v>
      </c>
      <c r="E26" s="15"/>
    </row>
    <row r="27" spans="1:5" ht="15" customHeight="1" x14ac:dyDescent="0.25">
      <c r="A27" s="17" t="s">
        <v>57</v>
      </c>
      <c r="B27" s="9">
        <v>148</v>
      </c>
      <c r="C27" s="9">
        <v>155</v>
      </c>
      <c r="D27" s="9"/>
      <c r="E27" s="15"/>
    </row>
    <row r="28" spans="1:5" ht="15" customHeight="1" x14ac:dyDescent="0.25">
      <c r="A28" s="17" t="s">
        <v>58</v>
      </c>
      <c r="B28" s="9">
        <v>2007</v>
      </c>
      <c r="C28" s="24">
        <v>833</v>
      </c>
      <c r="D28" s="25">
        <v>840</v>
      </c>
      <c r="E28" s="26"/>
    </row>
    <row r="29" spans="1:5" ht="15" customHeight="1" x14ac:dyDescent="0.25">
      <c r="A29" s="27"/>
      <c r="B29" s="15"/>
      <c r="C29" s="26"/>
      <c r="D29" s="15"/>
      <c r="E29" s="26"/>
    </row>
    <row r="30" spans="1:5" ht="15" customHeight="1" x14ac:dyDescent="0.25">
      <c r="A30" s="27"/>
      <c r="B30" s="15"/>
      <c r="C30" s="26"/>
      <c r="D30" s="15"/>
      <c r="E30" s="26"/>
    </row>
    <row r="31" spans="1:5" ht="15" customHeight="1" x14ac:dyDescent="0.25">
      <c r="A31" s="27"/>
      <c r="B31" s="15"/>
      <c r="C31" s="26"/>
      <c r="D31" s="15"/>
      <c r="E31" s="26"/>
    </row>
    <row r="32" spans="1:5" ht="15" customHeight="1" x14ac:dyDescent="0.25">
      <c r="A32" s="27"/>
      <c r="B32" s="15"/>
      <c r="C32" s="26"/>
      <c r="D32" s="15"/>
      <c r="E32" s="26"/>
    </row>
    <row r="33" spans="1:5" ht="15" customHeight="1" x14ac:dyDescent="0.25">
      <c r="A33" s="27"/>
      <c r="B33" s="15"/>
      <c r="C33" s="26"/>
      <c r="D33" s="15"/>
      <c r="E33" s="26"/>
    </row>
    <row r="34" spans="1:5" ht="15" customHeight="1" x14ac:dyDescent="0.25">
      <c r="A34" s="27"/>
      <c r="B34" s="15"/>
      <c r="C34" s="26"/>
      <c r="D34" s="15"/>
      <c r="E34" s="26"/>
    </row>
    <row r="35" spans="1:5" ht="15" customHeight="1" x14ac:dyDescent="0.25">
      <c r="A35" s="27"/>
      <c r="B35" s="15"/>
      <c r="C35" s="26"/>
      <c r="D35" s="15"/>
      <c r="E35" s="26"/>
    </row>
    <row r="36" spans="1:5" ht="15" customHeight="1" x14ac:dyDescent="0.25">
      <c r="A36" s="27"/>
      <c r="B36" s="15"/>
      <c r="C36" s="26"/>
      <c r="D36" s="15"/>
      <c r="E36" s="26"/>
    </row>
    <row r="37" spans="1:5" ht="15" customHeight="1" x14ac:dyDescent="0.25">
      <c r="A37" s="27"/>
      <c r="B37" s="15"/>
      <c r="C37" s="26"/>
      <c r="D37" s="15"/>
      <c r="E37" s="26"/>
    </row>
    <row r="38" spans="1:5" ht="15" customHeight="1" x14ac:dyDescent="0.25">
      <c r="A38" s="27"/>
      <c r="B38" s="15"/>
      <c r="C38" s="26"/>
      <c r="D38" s="15"/>
      <c r="E38" s="26"/>
    </row>
    <row r="39" spans="1:5" ht="15" customHeight="1" x14ac:dyDescent="0.25">
      <c r="A39" s="27"/>
      <c r="B39" s="15"/>
      <c r="C39" s="26"/>
      <c r="D39" s="15"/>
      <c r="E39" s="26"/>
    </row>
    <row r="40" spans="1:5" ht="15" customHeight="1" x14ac:dyDescent="0.25">
      <c r="A40" s="27"/>
      <c r="B40" s="15"/>
      <c r="C40" s="26"/>
      <c r="D40" s="15"/>
      <c r="E40" s="26"/>
    </row>
    <row r="41" spans="1:5" ht="15" customHeight="1" x14ac:dyDescent="0.25">
      <c r="A41" s="27"/>
      <c r="B41" s="15"/>
      <c r="C41" s="26"/>
      <c r="D41" s="15"/>
      <c r="E41" s="26"/>
    </row>
    <row r="42" spans="1:5" ht="15" customHeight="1" x14ac:dyDescent="0.25">
      <c r="A42" s="27"/>
      <c r="B42" s="15"/>
      <c r="C42" s="26"/>
      <c r="D42" s="15"/>
      <c r="E42" s="26"/>
    </row>
    <row r="43" spans="1:5" ht="15" customHeight="1" x14ac:dyDescent="0.25">
      <c r="A43" s="27"/>
      <c r="B43" s="15"/>
      <c r="C43" s="26"/>
      <c r="D43" s="15"/>
      <c r="E43" s="26"/>
    </row>
    <row r="44" spans="1:5" ht="15" customHeight="1" x14ac:dyDescent="0.25">
      <c r="A44" s="27"/>
      <c r="B44" s="15"/>
      <c r="C44" s="26"/>
      <c r="D44" s="15"/>
      <c r="E44" s="26"/>
    </row>
    <row r="45" spans="1:5" ht="15" customHeight="1" x14ac:dyDescent="0.25">
      <c r="A45" s="27"/>
      <c r="B45" s="15"/>
      <c r="C45" s="26"/>
      <c r="D45" s="15"/>
      <c r="E45" s="26"/>
    </row>
    <row r="46" spans="1:5" ht="15" customHeight="1" x14ac:dyDescent="0.25">
      <c r="A46" s="27"/>
      <c r="B46" s="15"/>
      <c r="C46" s="26"/>
      <c r="D46" s="15"/>
      <c r="E46" s="26"/>
    </row>
    <row r="47" spans="1:5" ht="15" customHeight="1" x14ac:dyDescent="0.25">
      <c r="A47" s="27"/>
      <c r="B47" s="15"/>
      <c r="C47" s="26"/>
      <c r="D47" s="15"/>
      <c r="E47" s="26"/>
    </row>
    <row r="48" spans="1:5" ht="15" customHeight="1" x14ac:dyDescent="0.25">
      <c r="A48" s="27"/>
      <c r="B48" s="15"/>
      <c r="C48" s="26"/>
      <c r="D48" s="15"/>
      <c r="E48" s="26"/>
    </row>
    <row r="49" spans="1:5" ht="15" customHeight="1" x14ac:dyDescent="0.25">
      <c r="A49" s="27"/>
      <c r="B49" s="15"/>
      <c r="C49" s="26"/>
      <c r="D49" s="15"/>
      <c r="E49" s="26"/>
    </row>
    <row r="50" spans="1:5" ht="15" customHeight="1" x14ac:dyDescent="0.25">
      <c r="A50" s="27"/>
      <c r="B50" s="15"/>
      <c r="C50" s="26"/>
      <c r="D50" s="15"/>
      <c r="E50" s="26"/>
    </row>
    <row r="51" spans="1:5" ht="15" customHeight="1" x14ac:dyDescent="0.25">
      <c r="A51" s="27"/>
      <c r="B51" s="15"/>
      <c r="C51" s="26"/>
      <c r="D51" s="15"/>
      <c r="E51" s="26"/>
    </row>
    <row r="52" spans="1:5" ht="15" customHeight="1" x14ac:dyDescent="0.25">
      <c r="A52" s="27"/>
      <c r="B52" s="15"/>
      <c r="C52" s="26"/>
      <c r="D52" s="15"/>
      <c r="E52" s="26"/>
    </row>
    <row r="53" spans="1:5" ht="15" customHeight="1" x14ac:dyDescent="0.25">
      <c r="A53" s="27"/>
      <c r="B53" s="15"/>
      <c r="C53" s="26"/>
      <c r="D53" s="15"/>
      <c r="E53" s="26"/>
    </row>
    <row r="54" spans="1:5" ht="15" customHeight="1" x14ac:dyDescent="0.25">
      <c r="A54" s="27"/>
      <c r="B54" s="15"/>
      <c r="C54" s="26"/>
      <c r="D54" s="15"/>
      <c r="E54" s="26"/>
    </row>
    <row r="55" spans="1:5" ht="15" customHeight="1" x14ac:dyDescent="0.25">
      <c r="A55" s="27"/>
      <c r="B55" s="15"/>
      <c r="C55" s="26"/>
      <c r="D55" s="15"/>
      <c r="E55" s="26"/>
    </row>
    <row r="56" spans="1:5" ht="15" customHeight="1" x14ac:dyDescent="0.25">
      <c r="A56" s="27"/>
      <c r="B56" s="15"/>
      <c r="C56" s="26"/>
      <c r="D56" s="15"/>
      <c r="E56" s="26"/>
    </row>
    <row r="57" spans="1:5" ht="15" customHeight="1" x14ac:dyDescent="0.25">
      <c r="A57" s="27"/>
      <c r="B57" s="15"/>
      <c r="C57" s="26"/>
      <c r="D57" s="15"/>
      <c r="E57" s="26"/>
    </row>
    <row r="58" spans="1:5" ht="15" customHeight="1" x14ac:dyDescent="0.25">
      <c r="A58" s="27"/>
      <c r="B58" s="15"/>
      <c r="C58" s="26"/>
      <c r="D58" s="15"/>
      <c r="E58" s="26"/>
    </row>
    <row r="59" spans="1:5" ht="15" customHeight="1" x14ac:dyDescent="0.25">
      <c r="A59" s="27"/>
      <c r="B59" s="15"/>
      <c r="C59" s="26"/>
      <c r="D59" s="15"/>
      <c r="E59" s="26"/>
    </row>
    <row r="60" spans="1:5" ht="15" customHeight="1" x14ac:dyDescent="0.25">
      <c r="A60" s="27"/>
      <c r="B60" s="15"/>
      <c r="C60" s="26"/>
      <c r="D60" s="15"/>
      <c r="E60" s="26"/>
    </row>
    <row r="61" spans="1:5" ht="15" customHeight="1" x14ac:dyDescent="0.25">
      <c r="A61" s="27"/>
      <c r="B61" s="15"/>
      <c r="C61" s="26"/>
      <c r="D61" s="15"/>
      <c r="E61" s="26"/>
    </row>
    <row r="62" spans="1:5" ht="15" customHeight="1" x14ac:dyDescent="0.25">
      <c r="A62" s="27"/>
      <c r="B62" s="15"/>
      <c r="C62" s="26"/>
      <c r="D62" s="15"/>
      <c r="E62" s="26"/>
    </row>
    <row r="63" spans="1:5" ht="15" customHeight="1" x14ac:dyDescent="0.25">
      <c r="A63" s="27"/>
      <c r="B63" s="15"/>
      <c r="C63" s="26"/>
      <c r="D63" s="15"/>
      <c r="E63" s="26"/>
    </row>
    <row r="64" spans="1:5" ht="15" customHeight="1" x14ac:dyDescent="0.25">
      <c r="A64" s="27"/>
      <c r="B64" s="15"/>
      <c r="C64" s="26"/>
      <c r="D64" s="15"/>
      <c r="E64" s="26"/>
    </row>
    <row r="65" spans="1:5" ht="15" customHeight="1" x14ac:dyDescent="0.25">
      <c r="A65" s="27"/>
      <c r="B65" s="15"/>
      <c r="C65" s="26"/>
      <c r="D65" s="15"/>
      <c r="E65" s="26"/>
    </row>
    <row r="66" spans="1:5" ht="15" customHeight="1" x14ac:dyDescent="0.25">
      <c r="A66" s="27"/>
      <c r="B66" s="15"/>
      <c r="C66" s="26"/>
      <c r="D66" s="15"/>
      <c r="E66" s="26"/>
    </row>
    <row r="67" spans="1:5" ht="15" customHeight="1" x14ac:dyDescent="0.25">
      <c r="A67" s="27"/>
      <c r="B67" s="15"/>
      <c r="C67" s="26"/>
      <c r="D67" s="15"/>
      <c r="E67" s="26"/>
    </row>
    <row r="68" spans="1:5" ht="15" customHeight="1" x14ac:dyDescent="0.25">
      <c r="A68" s="27"/>
      <c r="B68" s="15"/>
      <c r="C68" s="26"/>
      <c r="D68" s="15"/>
      <c r="E68" s="26"/>
    </row>
    <row r="69" spans="1:5" ht="15" customHeight="1" x14ac:dyDescent="0.25">
      <c r="A69" s="27"/>
      <c r="B69" s="15"/>
      <c r="C69" s="26"/>
      <c r="D69" s="15"/>
      <c r="E69" s="26"/>
    </row>
    <row r="70" spans="1:5" ht="15" customHeight="1" x14ac:dyDescent="0.25">
      <c r="A70" s="27"/>
      <c r="B70" s="15"/>
      <c r="C70" s="26"/>
      <c r="D70" s="15"/>
      <c r="E70" s="26"/>
    </row>
    <row r="71" spans="1:5" ht="15" customHeight="1" x14ac:dyDescent="0.25">
      <c r="A71" s="27"/>
      <c r="B71" s="15"/>
      <c r="C71" s="26"/>
      <c r="D71" s="15"/>
      <c r="E71" s="26"/>
    </row>
    <row r="72" spans="1:5" ht="15" customHeight="1" x14ac:dyDescent="0.25">
      <c r="A72" s="27"/>
      <c r="B72" s="15"/>
      <c r="C72" s="26"/>
      <c r="D72" s="15"/>
      <c r="E72" s="26"/>
    </row>
    <row r="73" spans="1:5" ht="15" customHeight="1" x14ac:dyDescent="0.25">
      <c r="A73" s="27"/>
      <c r="B73" s="15"/>
      <c r="C73" s="26"/>
      <c r="D73" s="15"/>
      <c r="E73" s="26"/>
    </row>
    <row r="74" spans="1:5" ht="15" customHeight="1" x14ac:dyDescent="0.25">
      <c r="A74" s="27"/>
      <c r="B74" s="15"/>
      <c r="C74" s="26"/>
      <c r="D74" s="15"/>
      <c r="E74" s="26"/>
    </row>
    <row r="75" spans="1:5" ht="15" customHeight="1" x14ac:dyDescent="0.25">
      <c r="A75" s="27"/>
      <c r="B75" s="15"/>
      <c r="C75" s="26"/>
      <c r="D75" s="15"/>
      <c r="E75" s="26"/>
    </row>
    <row r="76" spans="1:5" ht="15" customHeight="1" x14ac:dyDescent="0.25">
      <c r="A76" s="27"/>
      <c r="B76" s="15"/>
      <c r="C76" s="26"/>
      <c r="D76" s="15"/>
      <c r="E76" s="26"/>
    </row>
    <row r="77" spans="1:5" ht="15" customHeight="1" x14ac:dyDescent="0.25">
      <c r="A77" s="27"/>
      <c r="B77" s="15"/>
      <c r="C77" s="26"/>
      <c r="D77" s="15"/>
      <c r="E77" s="26"/>
    </row>
    <row r="78" spans="1:5" ht="15" customHeight="1" x14ac:dyDescent="0.25">
      <c r="A78" s="27"/>
      <c r="B78" s="15"/>
      <c r="C78" s="26"/>
      <c r="D78" s="15"/>
      <c r="E78" s="2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6.140625" customWidth="1"/>
    <col min="2" max="2" width="10.85546875" customWidth="1"/>
    <col min="3" max="3" width="11.5703125" customWidth="1"/>
    <col min="4" max="4" width="11.7109375" customWidth="1"/>
    <col min="5" max="5" width="14.140625" customWidth="1"/>
    <col min="6" max="6" width="7.5703125" customWidth="1"/>
  </cols>
  <sheetData>
    <row r="1" spans="1:5" ht="23.25" customHeight="1" x14ac:dyDescent="0.35">
      <c r="A1" s="3" t="s">
        <v>360</v>
      </c>
      <c r="C1" s="4"/>
      <c r="E1" s="4"/>
    </row>
    <row r="2" spans="1:5" ht="15" customHeight="1" x14ac:dyDescent="0.25">
      <c r="A2" s="4"/>
      <c r="C2" s="4"/>
      <c r="E2" s="4"/>
    </row>
    <row r="3" spans="1:5" ht="23.25" customHeight="1" x14ac:dyDescent="0.35">
      <c r="A3" s="4"/>
      <c r="B3" s="7">
        <v>2006</v>
      </c>
      <c r="C3" s="28">
        <v>2010</v>
      </c>
      <c r="D3" s="7">
        <v>2013</v>
      </c>
      <c r="E3" s="7">
        <v>2014</v>
      </c>
    </row>
    <row r="4" spans="1:5" ht="15" customHeight="1" x14ac:dyDescent="0.25">
      <c r="A4" s="8" t="s">
        <v>14</v>
      </c>
      <c r="B4" s="10">
        <f>9/11.5</f>
        <v>0.78260869565217395</v>
      </c>
      <c r="C4" s="30"/>
      <c r="D4" s="10"/>
      <c r="E4" s="10"/>
    </row>
    <row r="5" spans="1:5" ht="15" customHeight="1" x14ac:dyDescent="0.25">
      <c r="A5" s="8" t="s">
        <v>119</v>
      </c>
      <c r="B5" s="10">
        <f>2/11.5</f>
        <v>0.17391304347826086</v>
      </c>
      <c r="C5" s="30"/>
      <c r="D5" s="10"/>
      <c r="E5" s="10"/>
    </row>
    <row r="6" spans="1:5" ht="15" customHeight="1" x14ac:dyDescent="0.25">
      <c r="A6" s="8" t="s">
        <v>155</v>
      </c>
      <c r="B6" s="10">
        <f>0.5/11.5</f>
        <v>4.3478260869565216E-2</v>
      </c>
      <c r="C6" s="30"/>
      <c r="D6" s="10"/>
      <c r="E6" s="10"/>
    </row>
    <row r="7" spans="1:5" ht="15" customHeight="1" x14ac:dyDescent="0.25">
      <c r="A7" s="8" t="s">
        <v>214</v>
      </c>
      <c r="B7" s="10"/>
      <c r="C7" s="30">
        <f>13/17.5</f>
        <v>0.74285714285714288</v>
      </c>
      <c r="D7" s="10">
        <f>22/28</f>
        <v>0.7857142857142857</v>
      </c>
      <c r="E7" s="10">
        <f>6.5/24.18</f>
        <v>0.26881720430107525</v>
      </c>
    </row>
    <row r="8" spans="1:5" ht="15" customHeight="1" x14ac:dyDescent="0.25">
      <c r="A8" s="8" t="s">
        <v>135</v>
      </c>
      <c r="B8" s="10"/>
      <c r="C8" s="30">
        <f>2/17.5</f>
        <v>0.11428571428571428</v>
      </c>
      <c r="D8" s="10"/>
      <c r="E8" s="10"/>
    </row>
    <row r="9" spans="1:5" ht="15" customHeight="1" x14ac:dyDescent="0.25">
      <c r="A9" s="8" t="s">
        <v>123</v>
      </c>
      <c r="B9" s="10"/>
      <c r="C9" s="30">
        <f>0.85/17.5</f>
        <v>4.8571428571428571E-2</v>
      </c>
      <c r="D9" s="10"/>
      <c r="E9" s="10">
        <f>1/24.18</f>
        <v>4.1356492969396197E-2</v>
      </c>
    </row>
    <row r="10" spans="1:5" ht="15" customHeight="1" x14ac:dyDescent="0.25">
      <c r="A10" s="8" t="s">
        <v>155</v>
      </c>
      <c r="B10" s="10"/>
      <c r="C10" s="30">
        <f>0.9/17.5</f>
        <v>5.1428571428571428E-2</v>
      </c>
      <c r="D10" s="10"/>
      <c r="E10" s="10">
        <f>(6/16)/24.18</f>
        <v>1.5508684863523574E-2</v>
      </c>
    </row>
    <row r="11" spans="1:5" ht="15" customHeight="1" x14ac:dyDescent="0.25">
      <c r="A11" s="8" t="s">
        <v>291</v>
      </c>
      <c r="B11" s="10"/>
      <c r="C11" s="30">
        <f>0.5/17.5</f>
        <v>2.8571428571428571E-2</v>
      </c>
      <c r="D11" s="10"/>
      <c r="E11" s="10"/>
    </row>
    <row r="12" spans="1:5" ht="15" customHeight="1" x14ac:dyDescent="0.25">
      <c r="A12" s="8" t="s">
        <v>17</v>
      </c>
      <c r="B12" s="10"/>
      <c r="C12" s="30">
        <f>0.25/17.5</f>
        <v>1.4285714285714285E-2</v>
      </c>
      <c r="D12" s="10"/>
      <c r="E12" s="10"/>
    </row>
    <row r="13" spans="1:5" ht="15" customHeight="1" x14ac:dyDescent="0.25">
      <c r="A13" s="8" t="s">
        <v>24</v>
      </c>
      <c r="B13" s="10"/>
      <c r="C13" s="30"/>
      <c r="D13" s="10">
        <f>4/28</f>
        <v>0.14285714285714285</v>
      </c>
      <c r="E13" s="10">
        <f>5.5/24.18</f>
        <v>0.22746071133167908</v>
      </c>
    </row>
    <row r="14" spans="1:5" ht="15" customHeight="1" x14ac:dyDescent="0.25">
      <c r="A14" s="8" t="s">
        <v>365</v>
      </c>
      <c r="B14" s="10"/>
      <c r="C14" s="30"/>
      <c r="D14" s="10">
        <f t="shared" ref="D14:D15" si="0">1/28</f>
        <v>3.5714285714285712E-2</v>
      </c>
      <c r="E14" s="10"/>
    </row>
    <row r="15" spans="1:5" ht="15" customHeight="1" x14ac:dyDescent="0.25">
      <c r="A15" s="8" t="s">
        <v>266</v>
      </c>
      <c r="B15" s="10"/>
      <c r="C15" s="30"/>
      <c r="D15" s="10">
        <f t="shared" si="0"/>
        <v>3.5714285714285712E-2</v>
      </c>
      <c r="E15" s="10"/>
    </row>
    <row r="16" spans="1:5" ht="15" customHeight="1" x14ac:dyDescent="0.25">
      <c r="A16" s="8" t="s">
        <v>19</v>
      </c>
      <c r="B16" s="10"/>
      <c r="C16" s="30"/>
      <c r="D16" s="10"/>
      <c r="E16" s="10">
        <f t="shared" ref="E16:E17" si="1">5/24.18</f>
        <v>0.20678246484698098</v>
      </c>
    </row>
    <row r="17" spans="1:5" ht="15" customHeight="1" x14ac:dyDescent="0.25">
      <c r="A17" s="8" t="s">
        <v>82</v>
      </c>
      <c r="B17" s="10"/>
      <c r="C17" s="30"/>
      <c r="D17" s="10"/>
      <c r="E17" s="10">
        <f t="shared" si="1"/>
        <v>0.20678246484698098</v>
      </c>
    </row>
    <row r="18" spans="1:5" ht="15" customHeight="1" x14ac:dyDescent="0.25">
      <c r="A18" s="8" t="s">
        <v>129</v>
      </c>
      <c r="B18" s="10"/>
      <c r="C18" s="30"/>
      <c r="D18" s="10"/>
      <c r="E18" s="10">
        <f>0.75/24.18</f>
        <v>3.1017369727047148E-2</v>
      </c>
    </row>
    <row r="19" spans="1:5" ht="15" customHeight="1" x14ac:dyDescent="0.25">
      <c r="A19" s="8" t="s">
        <v>366</v>
      </c>
      <c r="B19" s="10"/>
      <c r="C19" s="30"/>
      <c r="D19" s="10"/>
      <c r="E19" s="10">
        <f>0.125/24.18</f>
        <v>5.1695616211745246E-3</v>
      </c>
    </row>
    <row r="20" spans="1:5" ht="15" customHeight="1" x14ac:dyDescent="0.25">
      <c r="A20" s="35"/>
      <c r="B20" s="13"/>
      <c r="C20" s="13"/>
      <c r="D20" s="13"/>
      <c r="E20" s="13"/>
    </row>
    <row r="21" spans="1:5" ht="15" customHeight="1" x14ac:dyDescent="0.25">
      <c r="A21" s="4"/>
      <c r="C21" s="4"/>
      <c r="E21" s="4"/>
    </row>
    <row r="22" spans="1:5" ht="15" customHeight="1" x14ac:dyDescent="0.25">
      <c r="A22" s="17" t="s">
        <v>28</v>
      </c>
      <c r="B22" s="9"/>
      <c r="C22" s="31"/>
      <c r="D22" s="9"/>
      <c r="E22" s="32" t="s">
        <v>36</v>
      </c>
    </row>
    <row r="23" spans="1:5" ht="15" customHeight="1" x14ac:dyDescent="0.25">
      <c r="A23" s="17" t="s">
        <v>113</v>
      </c>
      <c r="B23" s="19"/>
      <c r="C23" s="31"/>
      <c r="D23" s="9"/>
      <c r="E23" s="9"/>
    </row>
    <row r="24" spans="1:5" ht="30" customHeight="1" x14ac:dyDescent="0.25">
      <c r="A24" s="18" t="s">
        <v>31</v>
      </c>
      <c r="B24" s="4" t="s">
        <v>158</v>
      </c>
      <c r="C24" s="32" t="s">
        <v>225</v>
      </c>
      <c r="D24" s="19" t="s">
        <v>98</v>
      </c>
      <c r="E24" s="32" t="s">
        <v>36</v>
      </c>
    </row>
    <row r="25" spans="1:5" ht="15" customHeight="1" x14ac:dyDescent="0.25">
      <c r="A25" s="18" t="s">
        <v>39</v>
      </c>
      <c r="B25" s="19"/>
      <c r="C25" s="32"/>
      <c r="D25" s="19"/>
      <c r="E25" s="19"/>
    </row>
    <row r="26" spans="1:5" ht="15" customHeight="1" x14ac:dyDescent="0.25">
      <c r="A26" s="18" t="s">
        <v>40</v>
      </c>
      <c r="B26" s="9" t="s">
        <v>158</v>
      </c>
      <c r="C26" s="32"/>
      <c r="D26" s="19"/>
      <c r="E26" s="19"/>
    </row>
    <row r="27" spans="1:5" ht="30" customHeight="1" x14ac:dyDescent="0.25">
      <c r="A27" s="18" t="s">
        <v>41</v>
      </c>
      <c r="B27" s="9"/>
      <c r="C27" s="32"/>
      <c r="D27" s="19" t="s">
        <v>195</v>
      </c>
      <c r="E27" s="32" t="s">
        <v>36</v>
      </c>
    </row>
    <row r="28" spans="1:5" ht="30" customHeight="1" x14ac:dyDescent="0.25">
      <c r="A28" s="18" t="s">
        <v>43</v>
      </c>
      <c r="B28" s="9"/>
      <c r="C28" s="32" t="s">
        <v>36</v>
      </c>
      <c r="D28" s="19" t="s">
        <v>195</v>
      </c>
      <c r="E28" s="19"/>
    </row>
    <row r="29" spans="1:5" ht="15" customHeight="1" x14ac:dyDescent="0.25">
      <c r="A29" s="18" t="s">
        <v>44</v>
      </c>
      <c r="B29" s="9"/>
      <c r="C29" s="32"/>
      <c r="D29" s="19"/>
      <c r="E29" s="19"/>
    </row>
    <row r="30" spans="1:5" ht="15" customHeight="1" x14ac:dyDescent="0.25">
      <c r="A30" s="18" t="s">
        <v>45</v>
      </c>
      <c r="B30" s="19"/>
      <c r="C30" s="32"/>
      <c r="D30" s="19"/>
      <c r="E30" s="19"/>
    </row>
    <row r="31" spans="1:5" ht="15" customHeight="1" x14ac:dyDescent="0.25">
      <c r="A31" s="18" t="s">
        <v>52</v>
      </c>
      <c r="B31" s="19"/>
      <c r="C31" s="32"/>
      <c r="D31" s="19"/>
      <c r="E31" s="19"/>
    </row>
    <row r="32" spans="1:5" ht="15" customHeight="1" x14ac:dyDescent="0.25">
      <c r="A32" s="4"/>
      <c r="C32" s="4"/>
      <c r="E32" s="4"/>
    </row>
    <row r="33" spans="1:5" ht="15" customHeight="1" x14ac:dyDescent="0.25">
      <c r="A33" s="17" t="s">
        <v>53</v>
      </c>
      <c r="B33" s="9">
        <v>1.0880000000000001</v>
      </c>
      <c r="C33" s="31">
        <v>1.0860000000000001</v>
      </c>
      <c r="D33" s="9">
        <v>1.0980000000000001</v>
      </c>
      <c r="E33" s="9">
        <v>1.0860000000000001</v>
      </c>
    </row>
    <row r="34" spans="1:5" ht="15" customHeight="1" x14ac:dyDescent="0.25">
      <c r="A34" s="17" t="s">
        <v>55</v>
      </c>
      <c r="B34" s="24">
        <v>1.028</v>
      </c>
      <c r="C34" s="31">
        <v>1.02</v>
      </c>
      <c r="D34" s="9">
        <v>1.0209999999999999</v>
      </c>
      <c r="E34" s="9">
        <v>1.0209999999999999</v>
      </c>
    </row>
    <row r="35" spans="1:5" ht="15" customHeight="1" x14ac:dyDescent="0.25">
      <c r="A35" s="17" t="s">
        <v>57</v>
      </c>
      <c r="B35" s="45" t="s">
        <v>367</v>
      </c>
      <c r="C35" s="31">
        <v>155</v>
      </c>
      <c r="D35" s="9">
        <v>156</v>
      </c>
      <c r="E35" s="9">
        <v>152</v>
      </c>
    </row>
    <row r="36" spans="1:5" ht="15" customHeight="1" x14ac:dyDescent="0.25">
      <c r="A36" s="17" t="s">
        <v>58</v>
      </c>
      <c r="B36" s="24">
        <v>810</v>
      </c>
      <c r="C36" s="34">
        <v>830</v>
      </c>
      <c r="D36" s="24">
        <v>833</v>
      </c>
      <c r="E36" s="24">
        <v>833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2" sqref="A2"/>
    </sheetView>
  </sheetViews>
  <sheetFormatPr defaultColWidth="15.140625" defaultRowHeight="15.75" customHeight="1" x14ac:dyDescent="0.25"/>
  <sheetData>
    <row r="1" spans="1:4" ht="21" customHeight="1" x14ac:dyDescent="0.35">
      <c r="A1" s="63" t="s">
        <v>363</v>
      </c>
      <c r="B1" s="3"/>
      <c r="C1" s="3"/>
    </row>
    <row r="2" spans="1:4" ht="15.75" customHeight="1" x14ac:dyDescent="0.25">
      <c r="A2" s="4"/>
      <c r="B2" s="4"/>
      <c r="C2" s="4"/>
    </row>
    <row r="3" spans="1:4" ht="22.5" customHeight="1" x14ac:dyDescent="0.35">
      <c r="A3" s="4"/>
      <c r="B3" s="5">
        <v>2002</v>
      </c>
      <c r="C3" s="5">
        <v>2003</v>
      </c>
      <c r="D3" s="5">
        <v>2016</v>
      </c>
    </row>
    <row r="4" spans="1:4" ht="15.75" customHeight="1" x14ac:dyDescent="0.25">
      <c r="A4" s="16" t="s">
        <v>364</v>
      </c>
      <c r="B4" s="21">
        <v>0.25</v>
      </c>
      <c r="C4" s="21"/>
      <c r="D4" s="21"/>
    </row>
    <row r="5" spans="1:4" ht="15.75" customHeight="1" x14ac:dyDescent="0.25">
      <c r="A5" s="16" t="s">
        <v>155</v>
      </c>
      <c r="B5" s="21">
        <v>0.05</v>
      </c>
      <c r="C5" s="21"/>
      <c r="D5" s="21">
        <f>0.5/17</f>
        <v>2.9411764705882353E-2</v>
      </c>
    </row>
    <row r="6" spans="1:4" ht="15.75" customHeight="1" x14ac:dyDescent="0.25">
      <c r="A6" s="16" t="s">
        <v>266</v>
      </c>
      <c r="B6" s="21">
        <v>0.1</v>
      </c>
      <c r="C6" s="21">
        <f>0.7/8.9</f>
        <v>7.8651685393258425E-2</v>
      </c>
      <c r="D6" s="21">
        <f>2/17</f>
        <v>0.11764705882352941</v>
      </c>
    </row>
    <row r="7" spans="1:4" ht="15.75" customHeight="1" x14ac:dyDescent="0.25">
      <c r="A7" s="16" t="s">
        <v>246</v>
      </c>
      <c r="B7" s="21">
        <v>0.55000000000000004</v>
      </c>
      <c r="C7" s="21"/>
      <c r="D7" s="21"/>
    </row>
    <row r="8" spans="1:4" ht="15.75" customHeight="1" x14ac:dyDescent="0.25">
      <c r="A8" s="16" t="s">
        <v>34</v>
      </c>
      <c r="B8" s="21">
        <v>0.05</v>
      </c>
      <c r="C8" s="21"/>
      <c r="D8" s="21"/>
    </row>
    <row r="9" spans="1:4" ht="15.75" customHeight="1" x14ac:dyDescent="0.25">
      <c r="A9" s="16" t="s">
        <v>214</v>
      </c>
      <c r="B9" s="21"/>
      <c r="C9" s="21">
        <f>6/8.9</f>
        <v>0.6741573033707865</v>
      </c>
      <c r="D9" s="21">
        <f>10.5/17</f>
        <v>0.61764705882352944</v>
      </c>
    </row>
    <row r="10" spans="1:4" ht="15.75" customHeight="1" x14ac:dyDescent="0.25">
      <c r="A10" s="16" t="s">
        <v>167</v>
      </c>
      <c r="B10" s="21"/>
      <c r="C10" s="21">
        <f>2/8.9</f>
        <v>0.2247191011235955</v>
      </c>
      <c r="D10" s="21">
        <f>4/17</f>
        <v>0.23529411764705882</v>
      </c>
    </row>
    <row r="11" spans="1:4" ht="15.75" customHeight="1" x14ac:dyDescent="0.25">
      <c r="A11" s="16" t="s">
        <v>154</v>
      </c>
      <c r="B11" s="21"/>
      <c r="C11" s="21">
        <f>0.2/8.9</f>
        <v>2.247191011235955E-2</v>
      </c>
      <c r="D11" s="21"/>
    </row>
    <row r="12" spans="1:4" ht="15.75" customHeight="1" x14ac:dyDescent="0.25">
      <c r="A12" s="35"/>
      <c r="B12" s="13"/>
      <c r="C12" s="13"/>
      <c r="D12" s="13"/>
    </row>
    <row r="13" spans="1:4" ht="15.75" customHeight="1" x14ac:dyDescent="0.25">
      <c r="A13" s="4"/>
    </row>
    <row r="14" spans="1:4" ht="15.75" customHeight="1" x14ac:dyDescent="0.25">
      <c r="A14" s="17" t="s">
        <v>28</v>
      </c>
      <c r="B14" s="9"/>
      <c r="C14" s="9"/>
      <c r="D14" s="9"/>
    </row>
    <row r="15" spans="1:4" ht="15.75" customHeight="1" x14ac:dyDescent="0.25">
      <c r="A15" s="17" t="s">
        <v>113</v>
      </c>
      <c r="B15" s="19"/>
      <c r="C15" s="19"/>
      <c r="D15" s="19"/>
    </row>
    <row r="16" spans="1:4" ht="15.75" customHeight="1" x14ac:dyDescent="0.25">
      <c r="A16" s="18" t="s">
        <v>31</v>
      </c>
      <c r="B16" s="22" t="s">
        <v>243</v>
      </c>
      <c r="C16" s="22"/>
      <c r="D16" s="22" t="s">
        <v>195</v>
      </c>
    </row>
    <row r="17" spans="1:4" ht="15.75" customHeight="1" x14ac:dyDescent="0.25">
      <c r="A17" s="18" t="s">
        <v>39</v>
      </c>
      <c r="B17" s="22"/>
      <c r="C17" s="22" t="s">
        <v>195</v>
      </c>
      <c r="D17" s="22"/>
    </row>
    <row r="18" spans="1:4" ht="15.75" customHeight="1" x14ac:dyDescent="0.25">
      <c r="A18" s="18" t="s">
        <v>40</v>
      </c>
      <c r="B18" s="20"/>
      <c r="C18" s="20"/>
      <c r="D18" s="22" t="s">
        <v>195</v>
      </c>
    </row>
    <row r="19" spans="1:4" ht="15.75" customHeight="1" x14ac:dyDescent="0.25">
      <c r="A19" s="18" t="s">
        <v>41</v>
      </c>
      <c r="B19" s="20"/>
      <c r="C19" s="20"/>
      <c r="D19" s="20"/>
    </row>
    <row r="20" spans="1:4" ht="15.75" customHeight="1" x14ac:dyDescent="0.25">
      <c r="A20" s="18" t="s">
        <v>43</v>
      </c>
      <c r="B20" s="19"/>
      <c r="C20" s="19"/>
      <c r="D20" s="19"/>
    </row>
    <row r="21" spans="1:4" ht="15.75" customHeight="1" x14ac:dyDescent="0.25">
      <c r="A21" s="18" t="s">
        <v>44</v>
      </c>
      <c r="B21" s="22" t="s">
        <v>243</v>
      </c>
      <c r="C21" s="22"/>
      <c r="D21" s="22"/>
    </row>
    <row r="22" spans="1:4" ht="15.75" customHeight="1" x14ac:dyDescent="0.25">
      <c r="A22" s="18" t="s">
        <v>45</v>
      </c>
      <c r="B22" s="19"/>
      <c r="C22" s="19"/>
      <c r="D22" s="19"/>
    </row>
    <row r="23" spans="1:4" ht="15.75" customHeight="1" x14ac:dyDescent="0.25">
      <c r="A23" s="18" t="s">
        <v>52</v>
      </c>
      <c r="B23" s="19"/>
      <c r="C23" s="19"/>
      <c r="D23" s="19"/>
    </row>
    <row r="24" spans="1:4" ht="15.75" customHeight="1" x14ac:dyDescent="0.25">
      <c r="A24" s="4"/>
    </row>
    <row r="25" spans="1:4" ht="15.75" customHeight="1" x14ac:dyDescent="0.25">
      <c r="A25" s="17" t="s">
        <v>53</v>
      </c>
      <c r="B25" s="20">
        <v>1.046</v>
      </c>
      <c r="C25" s="20">
        <v>1.05</v>
      </c>
      <c r="D25" s="20">
        <v>1.046</v>
      </c>
    </row>
    <row r="26" spans="1:4" ht="15.75" customHeight="1" x14ac:dyDescent="0.25">
      <c r="A26" s="17" t="s">
        <v>55</v>
      </c>
      <c r="B26" s="25">
        <v>1.0149999999999999</v>
      </c>
      <c r="C26" s="25">
        <v>1.012</v>
      </c>
      <c r="D26" s="25">
        <v>1.012</v>
      </c>
    </row>
    <row r="27" spans="1:4" ht="15.75" customHeight="1" x14ac:dyDescent="0.25">
      <c r="A27" s="17" t="s">
        <v>57</v>
      </c>
      <c r="B27" s="37">
        <v>155</v>
      </c>
      <c r="C27" s="37">
        <v>153</v>
      </c>
      <c r="D27" s="37">
        <v>148</v>
      </c>
    </row>
    <row r="28" spans="1:4" ht="15.75" customHeight="1" x14ac:dyDescent="0.25">
      <c r="A28" s="17" t="s">
        <v>58</v>
      </c>
      <c r="B28" s="25">
        <v>1084</v>
      </c>
      <c r="C28" s="25">
        <v>1084</v>
      </c>
      <c r="D28" s="25" t="s">
        <v>230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3.85546875" customWidth="1"/>
    <col min="2" max="2" width="16.85546875" customWidth="1"/>
    <col min="3" max="3" width="11.85546875" customWidth="1"/>
    <col min="4" max="4" width="12.140625" customWidth="1"/>
    <col min="5" max="7" width="7.5703125" customWidth="1"/>
  </cols>
  <sheetData>
    <row r="1" spans="1:4" ht="23.25" customHeight="1" x14ac:dyDescent="0.35">
      <c r="A1" s="3" t="s">
        <v>368</v>
      </c>
      <c r="B1" s="3"/>
    </row>
    <row r="2" spans="1:4" ht="15" customHeight="1" x14ac:dyDescent="0.25">
      <c r="A2" s="4"/>
      <c r="B2" s="4"/>
    </row>
    <row r="3" spans="1:4" ht="23.25" customHeight="1" x14ac:dyDescent="0.35">
      <c r="A3" s="4"/>
      <c r="B3" s="5">
        <v>2000</v>
      </c>
      <c r="C3" s="7">
        <v>2012</v>
      </c>
      <c r="D3" s="7">
        <v>2014</v>
      </c>
    </row>
    <row r="4" spans="1:4" ht="15" customHeight="1" x14ac:dyDescent="0.25">
      <c r="A4" s="8" t="s">
        <v>112</v>
      </c>
      <c r="B4" s="10"/>
      <c r="C4" s="10">
        <f>18/25.125</f>
        <v>0.71641791044776115</v>
      </c>
      <c r="D4" s="10">
        <f>17.375/24.375</f>
        <v>0.71282051282051284</v>
      </c>
    </row>
    <row r="5" spans="1:4" ht="15" customHeight="1" x14ac:dyDescent="0.25">
      <c r="A5" s="8" t="s">
        <v>175</v>
      </c>
      <c r="B5" s="10"/>
      <c r="C5" s="10">
        <f>2/25.125</f>
        <v>7.9601990049751242E-2</v>
      </c>
      <c r="D5" s="10">
        <f>2/24.375</f>
        <v>8.2051282051282051E-2</v>
      </c>
    </row>
    <row r="6" spans="1:4" ht="15" customHeight="1" x14ac:dyDescent="0.25">
      <c r="A6" s="8" t="s">
        <v>164</v>
      </c>
      <c r="B6" s="10"/>
      <c r="C6" s="10">
        <f>1.5/25.125</f>
        <v>5.9701492537313432E-2</v>
      </c>
      <c r="D6" s="10">
        <f>1.5/24.375</f>
        <v>6.1538461538461542E-2</v>
      </c>
    </row>
    <row r="7" spans="1:4" ht="15" customHeight="1" x14ac:dyDescent="0.25">
      <c r="A7" s="8" t="s">
        <v>371</v>
      </c>
      <c r="B7" s="10"/>
      <c r="C7" s="10">
        <f>1/25.125</f>
        <v>3.9800995024875621E-2</v>
      </c>
      <c r="D7" s="10">
        <f>1/24.375</f>
        <v>4.1025641025641026E-2</v>
      </c>
    </row>
    <row r="8" spans="1:4" ht="15" customHeight="1" x14ac:dyDescent="0.25">
      <c r="A8" s="8" t="s">
        <v>155</v>
      </c>
      <c r="B8" s="10">
        <f>0.5/13.25</f>
        <v>3.7735849056603772E-2</v>
      </c>
      <c r="C8" s="10">
        <f t="shared" ref="C8:C9" si="0">0.75/25.125</f>
        <v>2.9850746268656716E-2</v>
      </c>
      <c r="D8" s="10">
        <f t="shared" ref="D8:D9" si="1">0.75/24.375</f>
        <v>3.0769230769230771E-2</v>
      </c>
    </row>
    <row r="9" spans="1:4" ht="15" customHeight="1" x14ac:dyDescent="0.25">
      <c r="A9" s="8" t="s">
        <v>153</v>
      </c>
      <c r="B9" s="10"/>
      <c r="C9" s="10">
        <f t="shared" si="0"/>
        <v>2.9850746268656716E-2</v>
      </c>
      <c r="D9" s="10">
        <f t="shared" si="1"/>
        <v>3.0769230769230771E-2</v>
      </c>
    </row>
    <row r="10" spans="1:4" ht="15" customHeight="1" x14ac:dyDescent="0.25">
      <c r="A10" s="8" t="s">
        <v>316</v>
      </c>
      <c r="B10" s="10"/>
      <c r="C10" s="10">
        <f>1/25.125</f>
        <v>3.9800995024875621E-2</v>
      </c>
      <c r="D10" s="10">
        <f>1/24.375</f>
        <v>4.1025641025641026E-2</v>
      </c>
    </row>
    <row r="11" spans="1:4" ht="15" customHeight="1" x14ac:dyDescent="0.25">
      <c r="A11" s="8" t="s">
        <v>373</v>
      </c>
      <c r="B11" s="10"/>
      <c r="C11" s="10">
        <f>0.125/25.125</f>
        <v>4.9751243781094526E-3</v>
      </c>
      <c r="D11" s="10"/>
    </row>
    <row r="12" spans="1:4" ht="15" customHeight="1" x14ac:dyDescent="0.25">
      <c r="A12" s="16" t="s">
        <v>216</v>
      </c>
      <c r="B12" s="10">
        <f>10/13.25</f>
        <v>0.75471698113207553</v>
      </c>
      <c r="C12" s="10"/>
      <c r="D12" s="10"/>
    </row>
    <row r="13" spans="1:4" ht="15" customHeight="1" x14ac:dyDescent="0.25">
      <c r="A13" s="16" t="s">
        <v>154</v>
      </c>
      <c r="B13" s="10">
        <f>1/13.25</f>
        <v>7.5471698113207544E-2</v>
      </c>
      <c r="C13" s="10"/>
      <c r="D13" s="10"/>
    </row>
    <row r="14" spans="1:4" ht="15" customHeight="1" x14ac:dyDescent="0.25">
      <c r="A14" s="16" t="s">
        <v>378</v>
      </c>
      <c r="B14" s="10">
        <f t="shared" ref="B14:B15" si="2">0.5/13.25</f>
        <v>3.7735849056603772E-2</v>
      </c>
      <c r="C14" s="10"/>
      <c r="D14" s="10"/>
    </row>
    <row r="15" spans="1:4" ht="15" customHeight="1" x14ac:dyDescent="0.25">
      <c r="A15" s="16" t="s">
        <v>72</v>
      </c>
      <c r="B15" s="10">
        <f t="shared" si="2"/>
        <v>3.7735849056603772E-2</v>
      </c>
      <c r="C15" s="10"/>
      <c r="D15" s="10"/>
    </row>
    <row r="16" spans="1:4" ht="15" customHeight="1" x14ac:dyDescent="0.25">
      <c r="A16" s="16" t="s">
        <v>266</v>
      </c>
      <c r="B16" s="10">
        <f>0.25/13.25</f>
        <v>1.8867924528301886E-2</v>
      </c>
      <c r="C16" s="10"/>
      <c r="D16" s="10"/>
    </row>
    <row r="17" spans="1:4" ht="15" customHeight="1" x14ac:dyDescent="0.25">
      <c r="A17" s="16" t="s">
        <v>379</v>
      </c>
      <c r="B17" s="10">
        <f>0.5/13.25</f>
        <v>3.7735849056603772E-2</v>
      </c>
      <c r="C17" s="10"/>
      <c r="D17" s="10"/>
    </row>
    <row r="18" spans="1:4" ht="15" customHeight="1" x14ac:dyDescent="0.25">
      <c r="A18" s="35"/>
      <c r="B18" s="13"/>
      <c r="C18" s="13"/>
      <c r="D18" s="13"/>
    </row>
    <row r="19" spans="1:4" ht="15" customHeight="1" x14ac:dyDescent="0.25">
      <c r="A19" s="4"/>
    </row>
    <row r="20" spans="1:4" ht="15" customHeight="1" x14ac:dyDescent="0.25">
      <c r="A20" s="17" t="s">
        <v>28</v>
      </c>
      <c r="B20" s="9"/>
      <c r="C20" s="9"/>
      <c r="D20" s="9"/>
    </row>
    <row r="21" spans="1:4" ht="15" customHeight="1" x14ac:dyDescent="0.25">
      <c r="A21" s="17" t="s">
        <v>113</v>
      </c>
      <c r="B21" s="19"/>
      <c r="C21" s="19"/>
      <c r="D21" s="19"/>
    </row>
    <row r="22" spans="1:4" ht="30" customHeight="1" x14ac:dyDescent="0.25">
      <c r="A22" s="18" t="s">
        <v>31</v>
      </c>
      <c r="B22" s="22" t="s">
        <v>170</v>
      </c>
      <c r="C22" s="19" t="s">
        <v>195</v>
      </c>
      <c r="D22" s="19" t="s">
        <v>195</v>
      </c>
    </row>
    <row r="23" spans="1:4" ht="15" customHeight="1" x14ac:dyDescent="0.25">
      <c r="A23" s="18" t="s">
        <v>39</v>
      </c>
      <c r="B23" s="22" t="s">
        <v>50</v>
      </c>
      <c r="C23" s="19"/>
      <c r="D23" s="19"/>
    </row>
    <row r="24" spans="1:4" ht="15" customHeight="1" x14ac:dyDescent="0.25">
      <c r="A24" s="18" t="s">
        <v>40</v>
      </c>
      <c r="B24" s="20" t="s">
        <v>170</v>
      </c>
      <c r="C24" s="9"/>
      <c r="D24" s="9"/>
    </row>
    <row r="25" spans="1:4" ht="15" customHeight="1" x14ac:dyDescent="0.25">
      <c r="A25" s="18" t="s">
        <v>41</v>
      </c>
      <c r="B25" s="20" t="s">
        <v>50</v>
      </c>
      <c r="C25" s="9"/>
      <c r="D25" s="9"/>
    </row>
    <row r="26" spans="1:4" ht="15" customHeight="1" x14ac:dyDescent="0.25">
      <c r="A26" s="18" t="s">
        <v>43</v>
      </c>
      <c r="B26" s="19"/>
      <c r="C26" s="19"/>
      <c r="D26" s="19"/>
    </row>
    <row r="27" spans="1:4" ht="27" customHeight="1" x14ac:dyDescent="0.25">
      <c r="A27" s="18" t="s">
        <v>44</v>
      </c>
      <c r="B27" s="22" t="s">
        <v>380</v>
      </c>
      <c r="C27" s="9"/>
      <c r="D27" s="9"/>
    </row>
    <row r="28" spans="1:4" ht="15" customHeight="1" x14ac:dyDescent="0.25">
      <c r="A28" s="18" t="s">
        <v>45</v>
      </c>
      <c r="B28" s="19"/>
      <c r="C28" s="19"/>
      <c r="D28" s="19"/>
    </row>
    <row r="29" spans="1:4" ht="15" customHeight="1" x14ac:dyDescent="0.25">
      <c r="A29" s="18" t="s">
        <v>52</v>
      </c>
      <c r="B29" s="19"/>
      <c r="C29" s="19"/>
      <c r="D29" s="19"/>
    </row>
    <row r="30" spans="1:4" ht="15" customHeight="1" x14ac:dyDescent="0.25">
      <c r="A30" s="4"/>
    </row>
    <row r="31" spans="1:4" ht="15" customHeight="1" x14ac:dyDescent="0.25">
      <c r="A31" s="17" t="s">
        <v>53</v>
      </c>
      <c r="B31" s="20">
        <v>1.085</v>
      </c>
      <c r="C31" s="9">
        <v>1.06</v>
      </c>
      <c r="D31" s="9">
        <v>1.0620000000000001</v>
      </c>
    </row>
    <row r="32" spans="1:4" ht="15" customHeight="1" x14ac:dyDescent="0.25">
      <c r="A32" s="17" t="s">
        <v>55</v>
      </c>
      <c r="B32" s="25" t="s">
        <v>106</v>
      </c>
      <c r="C32" s="24">
        <v>1.018</v>
      </c>
      <c r="D32" s="24">
        <v>1.016</v>
      </c>
    </row>
    <row r="33" spans="1:4" ht="15" customHeight="1" x14ac:dyDescent="0.25">
      <c r="A33" s="17" t="s">
        <v>57</v>
      </c>
      <c r="B33" s="37">
        <v>155</v>
      </c>
      <c r="C33" s="45">
        <v>154</v>
      </c>
      <c r="D33" s="45">
        <v>154</v>
      </c>
    </row>
    <row r="34" spans="1:4" ht="15" customHeight="1" x14ac:dyDescent="0.25">
      <c r="A34" s="17" t="s">
        <v>58</v>
      </c>
      <c r="B34" s="25" t="s">
        <v>298</v>
      </c>
      <c r="C34" s="24" t="s">
        <v>252</v>
      </c>
      <c r="D34" s="24" t="s">
        <v>252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6.28515625" customWidth="1"/>
    <col min="2" max="2" width="14" customWidth="1"/>
    <col min="3" max="3" width="12.5703125" customWidth="1"/>
    <col min="4" max="4" width="11.42578125" customWidth="1"/>
    <col min="5" max="7" width="7.5703125" customWidth="1"/>
  </cols>
  <sheetData>
    <row r="1" spans="1:4" ht="23.25" customHeight="1" x14ac:dyDescent="0.35">
      <c r="A1" s="3" t="s">
        <v>370</v>
      </c>
      <c r="B1" s="3"/>
    </row>
    <row r="2" spans="1:4" ht="15" customHeight="1" x14ac:dyDescent="0.25">
      <c r="A2" s="4"/>
      <c r="B2" s="4"/>
    </row>
    <row r="3" spans="1:4" ht="23.25" customHeight="1" x14ac:dyDescent="0.35">
      <c r="A3" s="4"/>
      <c r="B3" s="5">
        <v>2001</v>
      </c>
      <c r="C3" s="7">
        <v>2004</v>
      </c>
      <c r="D3" s="7">
        <v>2009</v>
      </c>
    </row>
    <row r="4" spans="1:4" ht="15" customHeight="1" x14ac:dyDescent="0.25">
      <c r="A4" s="8" t="s">
        <v>112</v>
      </c>
      <c r="B4" s="10"/>
      <c r="C4" s="10">
        <f>35/41.375</f>
        <v>0.84592145015105735</v>
      </c>
      <c r="D4" s="10"/>
    </row>
    <row r="5" spans="1:4" ht="15" customHeight="1" x14ac:dyDescent="0.25">
      <c r="A5" s="8" t="s">
        <v>123</v>
      </c>
      <c r="B5" s="10"/>
      <c r="C5" s="10">
        <f t="shared" ref="C5:C6" si="0">2/41.375</f>
        <v>4.8338368580060423E-2</v>
      </c>
      <c r="D5" s="10"/>
    </row>
    <row r="6" spans="1:4" ht="15" customHeight="1" x14ac:dyDescent="0.25">
      <c r="A6" s="8" t="s">
        <v>372</v>
      </c>
      <c r="B6" s="10"/>
      <c r="C6" s="10">
        <f t="shared" si="0"/>
        <v>4.8338368580060423E-2</v>
      </c>
      <c r="D6" s="10"/>
    </row>
    <row r="7" spans="1:4" ht="15" customHeight="1" x14ac:dyDescent="0.25">
      <c r="A7" s="8" t="s">
        <v>155</v>
      </c>
      <c r="B7" s="10">
        <f>0.25/8.75</f>
        <v>2.8571428571428571E-2</v>
      </c>
      <c r="C7" s="10">
        <f>1.5/41.375</f>
        <v>3.6253776435045321E-2</v>
      </c>
      <c r="D7" s="10">
        <f>0.63/15.755</f>
        <v>3.9987305617264358E-2</v>
      </c>
    </row>
    <row r="8" spans="1:4" ht="15" customHeight="1" x14ac:dyDescent="0.25">
      <c r="A8" s="8" t="s">
        <v>154</v>
      </c>
      <c r="B8" s="10">
        <f t="shared" ref="B8:B9" si="1">0.5/8.75</f>
        <v>5.7142857142857141E-2</v>
      </c>
      <c r="C8" s="10">
        <f>0.75/41.375</f>
        <v>1.812688821752266E-2</v>
      </c>
      <c r="D8" s="10"/>
    </row>
    <row r="9" spans="1:4" ht="15" customHeight="1" x14ac:dyDescent="0.25">
      <c r="A9" s="8" t="s">
        <v>283</v>
      </c>
      <c r="B9" s="10">
        <f t="shared" si="1"/>
        <v>5.7142857142857141E-2</v>
      </c>
      <c r="C9" s="10">
        <f>0.125/41.375</f>
        <v>3.0211480362537764E-3</v>
      </c>
      <c r="D9" s="10">
        <f t="shared" ref="D9:D10" si="2">1/15.755</f>
        <v>6.3471913678197392E-2</v>
      </c>
    </row>
    <row r="10" spans="1:4" ht="15" customHeight="1" x14ac:dyDescent="0.25">
      <c r="A10" s="8" t="s">
        <v>167</v>
      </c>
      <c r="B10" s="10"/>
      <c r="C10" s="10"/>
      <c r="D10" s="10">
        <f t="shared" si="2"/>
        <v>6.3471913678197392E-2</v>
      </c>
    </row>
    <row r="11" spans="1:4" ht="15" customHeight="1" x14ac:dyDescent="0.25">
      <c r="A11" s="8" t="s">
        <v>214</v>
      </c>
      <c r="B11" s="10"/>
      <c r="C11" s="10"/>
      <c r="D11" s="10">
        <f>12/15.755</f>
        <v>0.76166296413836876</v>
      </c>
    </row>
    <row r="12" spans="1:4" ht="15" customHeight="1" x14ac:dyDescent="0.25">
      <c r="A12" s="8" t="s">
        <v>165</v>
      </c>
      <c r="B12" s="10"/>
      <c r="C12" s="10"/>
      <c r="D12" s="10">
        <f t="shared" ref="D12:D13" si="3">0.5/15.755</f>
        <v>3.1735956839098696E-2</v>
      </c>
    </row>
    <row r="13" spans="1:4" ht="15" customHeight="1" x14ac:dyDescent="0.25">
      <c r="A13" s="8" t="s">
        <v>128</v>
      </c>
      <c r="B13" s="10">
        <f>0.5/8.75</f>
        <v>5.7142857142857141E-2</v>
      </c>
      <c r="C13" s="10"/>
      <c r="D13" s="10">
        <f t="shared" si="3"/>
        <v>3.1735956839098696E-2</v>
      </c>
    </row>
    <row r="14" spans="1:4" ht="15" customHeight="1" x14ac:dyDescent="0.25">
      <c r="A14" s="8" t="s">
        <v>373</v>
      </c>
      <c r="B14" s="10"/>
      <c r="C14" s="10"/>
      <c r="D14" s="10">
        <f>0.125/15.755</f>
        <v>7.933989209774674E-3</v>
      </c>
    </row>
    <row r="15" spans="1:4" ht="15" customHeight="1" x14ac:dyDescent="0.25">
      <c r="A15" s="16" t="s">
        <v>369</v>
      </c>
      <c r="B15" s="10">
        <f>3/8.75</f>
        <v>0.34285714285714286</v>
      </c>
      <c r="C15" s="10"/>
      <c r="D15" s="10"/>
    </row>
    <row r="16" spans="1:4" ht="15" customHeight="1" x14ac:dyDescent="0.25">
      <c r="A16" s="16" t="s">
        <v>216</v>
      </c>
      <c r="B16" s="10">
        <f>4/8.75</f>
        <v>0.45714285714285713</v>
      </c>
      <c r="C16" s="10"/>
      <c r="D16" s="10"/>
    </row>
    <row r="17" spans="1:4" ht="15" customHeight="1" x14ac:dyDescent="0.25">
      <c r="A17" s="35"/>
      <c r="B17" s="13"/>
      <c r="C17" s="13"/>
      <c r="D17" s="13"/>
    </row>
    <row r="18" spans="1:4" ht="15" customHeight="1" x14ac:dyDescent="0.25">
      <c r="A18" s="4"/>
    </row>
    <row r="19" spans="1:4" ht="15" customHeight="1" x14ac:dyDescent="0.25">
      <c r="A19" s="17" t="s">
        <v>28</v>
      </c>
      <c r="B19" s="9"/>
      <c r="C19" s="9"/>
      <c r="D19" s="9"/>
    </row>
    <row r="20" spans="1:4" ht="15" customHeight="1" x14ac:dyDescent="0.25">
      <c r="A20" s="17" t="s">
        <v>113</v>
      </c>
      <c r="B20" s="19"/>
      <c r="C20" s="19"/>
      <c r="D20" s="19"/>
    </row>
    <row r="21" spans="1:4" ht="30" customHeight="1" x14ac:dyDescent="0.25">
      <c r="A21" s="18" t="s">
        <v>31</v>
      </c>
      <c r="B21" s="22" t="s">
        <v>195</v>
      </c>
      <c r="C21" s="19" t="s">
        <v>142</v>
      </c>
      <c r="D21" s="19" t="s">
        <v>170</v>
      </c>
    </row>
    <row r="22" spans="1:4" ht="15" customHeight="1" x14ac:dyDescent="0.25">
      <c r="A22" s="18" t="s">
        <v>39</v>
      </c>
      <c r="B22" s="19"/>
      <c r="C22" s="19"/>
      <c r="D22" s="19"/>
    </row>
    <row r="23" spans="1:4" ht="15" customHeight="1" x14ac:dyDescent="0.25">
      <c r="A23" s="18" t="s">
        <v>40</v>
      </c>
      <c r="B23" s="9"/>
      <c r="C23" s="9"/>
      <c r="D23" s="9" t="s">
        <v>206</v>
      </c>
    </row>
    <row r="24" spans="1:4" ht="15" customHeight="1" x14ac:dyDescent="0.25">
      <c r="A24" s="18" t="s">
        <v>41</v>
      </c>
      <c r="B24" s="9"/>
      <c r="C24" s="9"/>
      <c r="D24" s="9"/>
    </row>
    <row r="25" spans="1:4" ht="15" customHeight="1" x14ac:dyDescent="0.25">
      <c r="A25" s="18" t="s">
        <v>43</v>
      </c>
      <c r="B25" s="19"/>
      <c r="C25" s="19"/>
      <c r="D25" s="19"/>
    </row>
    <row r="26" spans="1:4" ht="15" customHeight="1" x14ac:dyDescent="0.25">
      <c r="A26" s="18" t="s">
        <v>44</v>
      </c>
      <c r="B26" s="9"/>
      <c r="C26" s="9"/>
      <c r="D26" s="9"/>
    </row>
    <row r="27" spans="1:4" ht="15" customHeight="1" x14ac:dyDescent="0.25">
      <c r="A27" s="18" t="s">
        <v>45</v>
      </c>
      <c r="B27" s="19"/>
      <c r="C27" s="19"/>
      <c r="D27" s="19" t="s">
        <v>206</v>
      </c>
    </row>
    <row r="28" spans="1:4" ht="15" customHeight="1" x14ac:dyDescent="0.25">
      <c r="A28" s="18" t="s">
        <v>52</v>
      </c>
      <c r="B28" s="19"/>
      <c r="C28" s="19"/>
      <c r="D28" s="19"/>
    </row>
    <row r="29" spans="1:4" ht="15" customHeight="1" x14ac:dyDescent="0.25">
      <c r="A29" s="4"/>
    </row>
    <row r="30" spans="1:4" ht="15" customHeight="1" x14ac:dyDescent="0.25">
      <c r="A30" s="17" t="s">
        <v>53</v>
      </c>
      <c r="B30" s="20">
        <v>1.0640000000000001</v>
      </c>
      <c r="C30" s="9">
        <v>1.075</v>
      </c>
      <c r="D30" s="9">
        <v>1.071</v>
      </c>
    </row>
    <row r="31" spans="1:4" ht="15" customHeight="1" x14ac:dyDescent="0.25">
      <c r="A31" s="17" t="s">
        <v>55</v>
      </c>
      <c r="B31" s="25" t="s">
        <v>106</v>
      </c>
      <c r="C31" s="24">
        <v>1.022</v>
      </c>
      <c r="D31" s="24">
        <v>1.018</v>
      </c>
    </row>
    <row r="32" spans="1:4" ht="15" customHeight="1" x14ac:dyDescent="0.25">
      <c r="A32" s="17" t="s">
        <v>57</v>
      </c>
      <c r="B32" s="37">
        <v>155</v>
      </c>
      <c r="C32" s="45">
        <v>154</v>
      </c>
      <c r="D32" s="45">
        <v>145</v>
      </c>
    </row>
    <row r="33" spans="1:4" ht="15" customHeight="1" x14ac:dyDescent="0.25">
      <c r="A33" s="17" t="s">
        <v>58</v>
      </c>
      <c r="B33" s="25">
        <v>1084</v>
      </c>
      <c r="C33" s="24" t="s">
        <v>252</v>
      </c>
      <c r="D33" s="24">
        <v>1056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5.42578125" customWidth="1"/>
    <col min="2" max="2" width="14.28515625" customWidth="1"/>
    <col min="3" max="6" width="7.5703125" customWidth="1"/>
  </cols>
  <sheetData>
    <row r="1" spans="1:2" ht="23.25" customHeight="1" x14ac:dyDescent="0.35">
      <c r="A1" s="3" t="s">
        <v>381</v>
      </c>
    </row>
    <row r="2" spans="1:2" ht="15" customHeight="1" x14ac:dyDescent="0.25">
      <c r="A2" s="4"/>
    </row>
    <row r="3" spans="1:2" ht="23.25" customHeight="1" x14ac:dyDescent="0.35">
      <c r="A3" s="4"/>
      <c r="B3" s="7">
        <v>2008</v>
      </c>
    </row>
    <row r="4" spans="1:2" ht="15" customHeight="1" x14ac:dyDescent="0.25">
      <c r="A4" s="8" t="s">
        <v>214</v>
      </c>
      <c r="B4" s="10">
        <f>19/26.5</f>
        <v>0.71698113207547165</v>
      </c>
    </row>
    <row r="5" spans="1:2" ht="15" customHeight="1" x14ac:dyDescent="0.25">
      <c r="A5" s="8" t="s">
        <v>155</v>
      </c>
      <c r="B5" s="10">
        <f t="shared" ref="B5:B7" si="0">2/26.5</f>
        <v>7.5471698113207544E-2</v>
      </c>
    </row>
    <row r="6" spans="1:2" ht="15" customHeight="1" x14ac:dyDescent="0.25">
      <c r="A6" s="8" t="s">
        <v>283</v>
      </c>
      <c r="B6" s="10">
        <f t="shared" si="0"/>
        <v>7.5471698113207544E-2</v>
      </c>
    </row>
    <row r="7" spans="1:2" ht="15" customHeight="1" x14ac:dyDescent="0.25">
      <c r="A7" s="8" t="s">
        <v>165</v>
      </c>
      <c r="B7" s="10">
        <f t="shared" si="0"/>
        <v>7.5471698113207544E-2</v>
      </c>
    </row>
    <row r="8" spans="1:2" ht="15" customHeight="1" x14ac:dyDescent="0.25">
      <c r="A8" s="8" t="s">
        <v>175</v>
      </c>
      <c r="B8" s="10">
        <f>1.5/26.5</f>
        <v>5.6603773584905662E-2</v>
      </c>
    </row>
    <row r="9" spans="1:2" ht="15" customHeight="1" x14ac:dyDescent="0.25">
      <c r="A9" s="35"/>
      <c r="B9" s="13"/>
    </row>
    <row r="10" spans="1:2" ht="15" customHeight="1" x14ac:dyDescent="0.25">
      <c r="A10" s="4"/>
    </row>
    <row r="11" spans="1:2" ht="15" customHeight="1" x14ac:dyDescent="0.25">
      <c r="A11" s="17" t="s">
        <v>28</v>
      </c>
      <c r="B11" s="9"/>
    </row>
    <row r="12" spans="1:2" ht="15" customHeight="1" x14ac:dyDescent="0.25">
      <c r="A12" s="17" t="s">
        <v>113</v>
      </c>
      <c r="B12" s="19"/>
    </row>
    <row r="13" spans="1:2" ht="15" customHeight="1" x14ac:dyDescent="0.25">
      <c r="A13" s="18" t="s">
        <v>31</v>
      </c>
      <c r="B13" s="19" t="s">
        <v>206</v>
      </c>
    </row>
    <row r="14" spans="1:2" ht="15" customHeight="1" x14ac:dyDescent="0.25">
      <c r="A14" s="18" t="s">
        <v>39</v>
      </c>
      <c r="B14" s="19"/>
    </row>
    <row r="15" spans="1:2" ht="15" customHeight="1" x14ac:dyDescent="0.25">
      <c r="A15" s="18" t="s">
        <v>40</v>
      </c>
      <c r="B15" s="9"/>
    </row>
    <row r="16" spans="1:2" ht="15" customHeight="1" x14ac:dyDescent="0.25">
      <c r="A16" s="18" t="s">
        <v>41</v>
      </c>
      <c r="B16" s="9"/>
    </row>
    <row r="17" spans="1:2" ht="15" customHeight="1" x14ac:dyDescent="0.25">
      <c r="A17" s="18" t="s">
        <v>43</v>
      </c>
      <c r="B17" s="19" t="s">
        <v>206</v>
      </c>
    </row>
    <row r="18" spans="1:2" ht="15" customHeight="1" x14ac:dyDescent="0.25">
      <c r="A18" s="18" t="s">
        <v>44</v>
      </c>
      <c r="B18" s="9"/>
    </row>
    <row r="19" spans="1:2" ht="15" customHeight="1" x14ac:dyDescent="0.25">
      <c r="A19" s="18" t="s">
        <v>45</v>
      </c>
      <c r="B19" s="19"/>
    </row>
    <row r="20" spans="1:2" ht="15" customHeight="1" x14ac:dyDescent="0.25">
      <c r="A20" s="18" t="s">
        <v>52</v>
      </c>
      <c r="B20" s="19"/>
    </row>
    <row r="21" spans="1:2" ht="15" customHeight="1" x14ac:dyDescent="0.25">
      <c r="A21" s="4"/>
    </row>
    <row r="22" spans="1:2" ht="15" customHeight="1" x14ac:dyDescent="0.25">
      <c r="A22" s="17" t="s">
        <v>53</v>
      </c>
      <c r="B22" s="9">
        <v>1.06</v>
      </c>
    </row>
    <row r="23" spans="1:2" ht="15" customHeight="1" x14ac:dyDescent="0.25">
      <c r="A23" s="17" t="s">
        <v>55</v>
      </c>
      <c r="B23" s="24">
        <v>1.014</v>
      </c>
    </row>
    <row r="24" spans="1:2" ht="15" customHeight="1" x14ac:dyDescent="0.25">
      <c r="A24" s="17" t="s">
        <v>57</v>
      </c>
      <c r="B24" s="45">
        <v>154</v>
      </c>
    </row>
    <row r="25" spans="1:2" ht="15" customHeight="1" x14ac:dyDescent="0.25">
      <c r="A25" s="17" t="s">
        <v>58</v>
      </c>
      <c r="B25" s="24" t="s">
        <v>199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A2" sqref="A2"/>
    </sheetView>
  </sheetViews>
  <sheetFormatPr defaultColWidth="15.140625" defaultRowHeight="15.75" customHeight="1" x14ac:dyDescent="0.25"/>
  <cols>
    <col min="1" max="2" width="14.85546875" customWidth="1"/>
    <col min="3" max="3" width="13.7109375" customWidth="1"/>
    <col min="4" max="4" width="9.85546875" customWidth="1"/>
    <col min="5" max="5" width="11.7109375" customWidth="1"/>
    <col min="6" max="6" width="12.85546875" customWidth="1"/>
    <col min="7" max="7" width="9.5703125" customWidth="1"/>
    <col min="8" max="8" width="11" customWidth="1"/>
    <col min="9" max="9" width="11.85546875" customWidth="1"/>
    <col min="10" max="10" width="11.7109375" customWidth="1"/>
  </cols>
  <sheetData>
    <row r="1" spans="1:10" ht="23.25" customHeight="1" x14ac:dyDescent="0.35">
      <c r="A1" s="3" t="s">
        <v>382</v>
      </c>
      <c r="B1" s="3"/>
      <c r="C1" s="4"/>
      <c r="E1" s="4"/>
      <c r="F1" s="4"/>
      <c r="J1">
        <f>18.25+0.45</f>
        <v>18.7</v>
      </c>
    </row>
    <row r="2" spans="1:10" ht="15" customHeight="1" x14ac:dyDescent="0.25">
      <c r="A2" s="4"/>
      <c r="B2" s="4"/>
      <c r="C2" s="4"/>
      <c r="E2" s="4"/>
      <c r="F2" s="4"/>
    </row>
    <row r="3" spans="1:10" ht="23.25" customHeight="1" x14ac:dyDescent="0.35">
      <c r="A3" s="4"/>
      <c r="B3" s="5">
        <v>2002</v>
      </c>
      <c r="C3" s="7">
        <v>2005</v>
      </c>
      <c r="D3" s="28">
        <v>2006</v>
      </c>
      <c r="E3" s="7">
        <v>2007</v>
      </c>
      <c r="F3" s="7">
        <v>2011</v>
      </c>
      <c r="G3" s="7">
        <v>2012</v>
      </c>
      <c r="H3" s="7">
        <v>2013</v>
      </c>
      <c r="I3" s="5">
        <v>2015</v>
      </c>
      <c r="J3" s="5">
        <v>2016</v>
      </c>
    </row>
    <row r="4" spans="1:10" ht="15" customHeight="1" x14ac:dyDescent="0.25">
      <c r="A4" s="8" t="s">
        <v>112</v>
      </c>
      <c r="B4" s="10">
        <f>12/15</f>
        <v>0.8</v>
      </c>
      <c r="C4" s="10">
        <f>10/21.5</f>
        <v>0.46511627906976744</v>
      </c>
      <c r="D4" s="30"/>
      <c r="E4" s="10"/>
      <c r="F4" s="10"/>
      <c r="G4" s="10"/>
      <c r="H4" s="10"/>
      <c r="I4" s="10"/>
      <c r="J4" s="10"/>
    </row>
    <row r="5" spans="1:10" ht="15" customHeight="1" x14ac:dyDescent="0.25">
      <c r="A5" s="8" t="s">
        <v>283</v>
      </c>
      <c r="B5" s="10">
        <f>1/15</f>
        <v>6.6666666666666666E-2</v>
      </c>
      <c r="C5" s="10">
        <f t="shared" ref="C5:C6" si="0">1.5/21.5</f>
        <v>6.9767441860465115E-2</v>
      </c>
      <c r="D5" s="30">
        <f t="shared" ref="D5:D6" si="1">3/95.38</f>
        <v>3.1453134829104633E-2</v>
      </c>
      <c r="E5" s="10">
        <f>0.5/19.5</f>
        <v>2.564102564102564E-2</v>
      </c>
      <c r="F5" s="10">
        <f>1.25/18</f>
        <v>6.9444444444444448E-2</v>
      </c>
      <c r="G5" s="10">
        <v>1.7000000000000001E-2</v>
      </c>
      <c r="H5" s="10"/>
      <c r="I5" s="21">
        <v>6.8000000000000005E-2</v>
      </c>
      <c r="J5" s="21">
        <f>1.25/18.7</f>
        <v>6.684491978609626E-2</v>
      </c>
    </row>
    <row r="6" spans="1:10" ht="15" customHeight="1" x14ac:dyDescent="0.25">
      <c r="A6" s="8" t="s">
        <v>155</v>
      </c>
      <c r="B6" s="10"/>
      <c r="C6" s="10">
        <f t="shared" si="0"/>
        <v>6.9767441860465115E-2</v>
      </c>
      <c r="D6" s="30">
        <f t="shared" si="1"/>
        <v>3.1453134829104633E-2</v>
      </c>
      <c r="E6" s="10">
        <f>0.75/19.5</f>
        <v>3.8461538461538464E-2</v>
      </c>
      <c r="F6" s="10">
        <f>0.5/18</f>
        <v>2.7777777777777776E-2</v>
      </c>
      <c r="G6" s="10">
        <v>1.7000000000000001E-2</v>
      </c>
      <c r="H6" s="10">
        <f>2/22</f>
        <v>9.0909090909090912E-2</v>
      </c>
      <c r="I6" s="21">
        <v>2.3E-2</v>
      </c>
      <c r="J6" s="21"/>
    </row>
    <row r="7" spans="1:10" ht="15" customHeight="1" x14ac:dyDescent="0.25">
      <c r="A7" s="8" t="s">
        <v>311</v>
      </c>
      <c r="B7" s="10"/>
      <c r="C7" s="10">
        <f t="shared" ref="C7:C11" si="2">1/21.5</f>
        <v>4.6511627906976744E-2</v>
      </c>
      <c r="D7" s="30"/>
      <c r="E7" s="10"/>
      <c r="F7" s="10"/>
      <c r="G7" s="10"/>
      <c r="H7" s="10"/>
      <c r="I7" s="10"/>
      <c r="J7" s="10"/>
    </row>
    <row r="8" spans="1:10" ht="15" customHeight="1" x14ac:dyDescent="0.25">
      <c r="A8" s="8" t="s">
        <v>72</v>
      </c>
      <c r="B8" s="10"/>
      <c r="C8" s="10">
        <f t="shared" si="2"/>
        <v>4.6511627906976744E-2</v>
      </c>
      <c r="D8" s="30"/>
      <c r="E8" s="10"/>
      <c r="F8" s="10"/>
      <c r="G8" s="10"/>
      <c r="H8" s="10"/>
      <c r="I8" s="10"/>
      <c r="J8" s="10"/>
    </row>
    <row r="9" spans="1:10" ht="15" customHeight="1" x14ac:dyDescent="0.25">
      <c r="A9" s="8" t="s">
        <v>38</v>
      </c>
      <c r="B9" s="10"/>
      <c r="C9" s="10">
        <f t="shared" si="2"/>
        <v>4.6511627906976744E-2</v>
      </c>
      <c r="D9" s="30">
        <f>1.5/95.38</f>
        <v>1.5726567414552316E-2</v>
      </c>
      <c r="E9" s="10"/>
      <c r="F9" s="10"/>
      <c r="G9" s="10"/>
      <c r="H9" s="10"/>
      <c r="I9" s="10"/>
      <c r="J9" s="10"/>
    </row>
    <row r="10" spans="1:10" ht="15" customHeight="1" x14ac:dyDescent="0.25">
      <c r="A10" s="64" t="s">
        <v>24</v>
      </c>
      <c r="B10" s="10"/>
      <c r="C10" s="10">
        <f t="shared" si="2"/>
        <v>4.6511627906976744E-2</v>
      </c>
      <c r="D10" s="30"/>
      <c r="E10" s="10"/>
      <c r="F10" s="10"/>
      <c r="G10" s="10"/>
      <c r="H10" s="10"/>
      <c r="I10" s="10"/>
      <c r="J10" s="10"/>
    </row>
    <row r="11" spans="1:10" ht="15" customHeight="1" x14ac:dyDescent="0.25">
      <c r="A11" s="8" t="s">
        <v>388</v>
      </c>
      <c r="B11" s="10"/>
      <c r="C11" s="10">
        <f t="shared" si="2"/>
        <v>4.6511627906976744E-2</v>
      </c>
      <c r="D11" s="30"/>
      <c r="E11" s="10"/>
      <c r="F11" s="10"/>
      <c r="G11" s="10"/>
      <c r="H11" s="10"/>
      <c r="I11" s="10"/>
      <c r="J11" s="10"/>
    </row>
    <row r="12" spans="1:10" ht="15" customHeight="1" x14ac:dyDescent="0.25">
      <c r="A12" s="8" t="s">
        <v>123</v>
      </c>
      <c r="B12" s="10"/>
      <c r="C12" s="10">
        <f t="shared" ref="C12:C14" si="3">0.5/21.5</f>
        <v>2.3255813953488372E-2</v>
      </c>
      <c r="D12" s="30"/>
      <c r="E12" s="10"/>
      <c r="F12" s="10"/>
      <c r="G12" s="10">
        <f>0.59/19.88</f>
        <v>2.9678068410462777E-2</v>
      </c>
      <c r="H12" s="10">
        <f>1/22</f>
        <v>4.5454545454545456E-2</v>
      </c>
      <c r="I12" s="21">
        <v>2.3E-2</v>
      </c>
      <c r="J12" s="21"/>
    </row>
    <row r="13" spans="1:10" ht="15" customHeight="1" x14ac:dyDescent="0.25">
      <c r="A13" s="8" t="s">
        <v>154</v>
      </c>
      <c r="B13" s="10">
        <f>1/15</f>
        <v>6.6666666666666666E-2</v>
      </c>
      <c r="C13" s="10">
        <f t="shared" si="3"/>
        <v>2.3255813953488372E-2</v>
      </c>
      <c r="D13" s="30">
        <f t="shared" ref="D13:D14" si="4">1.5/95.38</f>
        <v>1.5726567414552316E-2</v>
      </c>
      <c r="E13" s="10"/>
      <c r="F13" s="10"/>
      <c r="G13" s="10"/>
      <c r="H13" s="10"/>
      <c r="I13" s="10"/>
      <c r="J13" s="10"/>
    </row>
    <row r="14" spans="1:10" ht="15" customHeight="1" x14ac:dyDescent="0.25">
      <c r="A14" s="8" t="s">
        <v>250</v>
      </c>
      <c r="B14" s="10"/>
      <c r="C14" s="10">
        <f t="shared" si="3"/>
        <v>2.3255813953488372E-2</v>
      </c>
      <c r="D14" s="30">
        <f t="shared" si="4"/>
        <v>1.5726567414552316E-2</v>
      </c>
      <c r="E14" s="10"/>
      <c r="F14" s="10"/>
      <c r="G14" s="10"/>
      <c r="H14" s="10"/>
      <c r="I14" s="21">
        <v>4.4999999999999998E-2</v>
      </c>
      <c r="J14" s="21"/>
    </row>
    <row r="15" spans="1:10" ht="15" customHeight="1" x14ac:dyDescent="0.25">
      <c r="A15" s="8" t="s">
        <v>135</v>
      </c>
      <c r="B15" s="10"/>
      <c r="C15" s="10">
        <f>2/21.5</f>
        <v>9.3023255813953487E-2</v>
      </c>
      <c r="D15" s="30"/>
      <c r="E15" s="10"/>
      <c r="F15" s="10">
        <f>7/18</f>
        <v>0.3888888888888889</v>
      </c>
      <c r="G15" s="10"/>
      <c r="H15" s="10"/>
      <c r="I15" s="10"/>
      <c r="J15" s="10">
        <f>2/18.7</f>
        <v>0.10695187165775401</v>
      </c>
    </row>
    <row r="16" spans="1:10" ht="15" customHeight="1" x14ac:dyDescent="0.25">
      <c r="A16" s="8" t="s">
        <v>392</v>
      </c>
      <c r="B16" s="10"/>
      <c r="C16" s="10"/>
      <c r="D16" s="30">
        <f>72.5/95.38</f>
        <v>0.76011742503669533</v>
      </c>
      <c r="E16" s="10"/>
      <c r="F16" s="10"/>
      <c r="G16" s="10"/>
      <c r="H16" s="10">
        <f>18/22</f>
        <v>0.81818181818181823</v>
      </c>
      <c r="I16" s="21">
        <v>0.76600000000000001</v>
      </c>
      <c r="J16" s="21"/>
    </row>
    <row r="17" spans="1:10" ht="15" customHeight="1" x14ac:dyDescent="0.25">
      <c r="A17" s="8" t="s">
        <v>17</v>
      </c>
      <c r="B17" s="10"/>
      <c r="C17" s="10"/>
      <c r="D17" s="30">
        <f t="shared" ref="D17:D19" si="5">3/95.38</f>
        <v>3.1453134829104633E-2</v>
      </c>
      <c r="E17" s="10"/>
      <c r="F17" s="10"/>
      <c r="G17" s="10"/>
      <c r="H17" s="10"/>
      <c r="I17" s="10"/>
      <c r="J17" s="10"/>
    </row>
    <row r="18" spans="1:10" ht="15" customHeight="1" x14ac:dyDescent="0.25">
      <c r="A18" s="8" t="s">
        <v>395</v>
      </c>
      <c r="B18" s="10"/>
      <c r="C18" s="10"/>
      <c r="D18" s="30">
        <f t="shared" si="5"/>
        <v>3.1453134829104633E-2</v>
      </c>
      <c r="E18" s="10"/>
      <c r="F18" s="10"/>
      <c r="G18" s="10"/>
      <c r="H18" s="10"/>
      <c r="I18" s="10"/>
      <c r="J18" s="10"/>
    </row>
    <row r="19" spans="1:10" ht="15" customHeight="1" x14ac:dyDescent="0.25">
      <c r="A19" s="8" t="s">
        <v>167</v>
      </c>
      <c r="B19" s="10">
        <f>1/15</f>
        <v>6.6666666666666666E-2</v>
      </c>
      <c r="C19" s="10"/>
      <c r="D19" s="30">
        <f t="shared" si="5"/>
        <v>3.1453134829104633E-2</v>
      </c>
      <c r="E19" s="10"/>
      <c r="F19" s="10">
        <f>1/18</f>
        <v>5.5555555555555552E-2</v>
      </c>
      <c r="G19" s="10"/>
      <c r="H19" s="10"/>
      <c r="I19" s="10"/>
      <c r="J19" s="10">
        <f>0.25/18.7</f>
        <v>1.3368983957219251E-2</v>
      </c>
    </row>
    <row r="20" spans="1:10" ht="15" customHeight="1" x14ac:dyDescent="0.25">
      <c r="A20" s="8" t="s">
        <v>239</v>
      </c>
      <c r="B20" s="10"/>
      <c r="C20" s="10"/>
      <c r="D20" s="30">
        <f>1.88/95.38</f>
        <v>1.9710631159572237E-2</v>
      </c>
      <c r="E20" s="10"/>
      <c r="F20" s="10"/>
      <c r="G20" s="10"/>
      <c r="H20" s="10"/>
      <c r="I20" s="10"/>
      <c r="J20" s="10">
        <f>0.75/18.7</f>
        <v>4.0106951871657755E-2</v>
      </c>
    </row>
    <row r="21" spans="1:10" ht="15" customHeight="1" x14ac:dyDescent="0.25">
      <c r="A21" s="8" t="s">
        <v>157</v>
      </c>
      <c r="B21" s="10"/>
      <c r="C21" s="10"/>
      <c r="D21" s="30">
        <f>1.5/95.38</f>
        <v>1.5726567414552316E-2</v>
      </c>
      <c r="E21" s="10"/>
      <c r="F21" s="10"/>
      <c r="G21" s="10"/>
      <c r="H21" s="10"/>
      <c r="I21" s="10"/>
      <c r="J21" s="10"/>
    </row>
    <row r="22" spans="1:10" ht="15" customHeight="1" x14ac:dyDescent="0.25">
      <c r="A22" s="8" t="s">
        <v>174</v>
      </c>
      <c r="B22" s="10"/>
      <c r="C22" s="10"/>
      <c r="D22" s="10"/>
      <c r="E22" s="10">
        <f>0.5/19.5</f>
        <v>2.564102564102564E-2</v>
      </c>
      <c r="F22" s="10">
        <f>1.25/18</f>
        <v>6.9444444444444448E-2</v>
      </c>
      <c r="G22" s="10">
        <f>0.34/19.88</f>
        <v>1.7102615694164991E-2</v>
      </c>
      <c r="H22" s="10"/>
      <c r="I22" s="10"/>
      <c r="J22" s="10">
        <f>0.45/18.7</f>
        <v>2.4064171122994655E-2</v>
      </c>
    </row>
    <row r="23" spans="1:10" ht="15" customHeight="1" x14ac:dyDescent="0.25">
      <c r="A23" s="8" t="s">
        <v>316</v>
      </c>
      <c r="B23" s="10"/>
      <c r="C23" s="10"/>
      <c r="D23" s="30"/>
      <c r="E23" s="10">
        <f>1/19.5</f>
        <v>5.128205128205128E-2</v>
      </c>
      <c r="F23" s="10"/>
      <c r="G23" s="10"/>
      <c r="H23" s="10"/>
      <c r="I23" s="10"/>
      <c r="J23" s="10"/>
    </row>
    <row r="24" spans="1:10" ht="15" customHeight="1" x14ac:dyDescent="0.25">
      <c r="A24" s="8" t="s">
        <v>164</v>
      </c>
      <c r="B24" s="10"/>
      <c r="C24" s="10"/>
      <c r="D24" s="30"/>
      <c r="E24" s="10">
        <f>0.5/19.5</f>
        <v>2.564102564102564E-2</v>
      </c>
      <c r="F24" s="10"/>
      <c r="G24" s="10"/>
      <c r="H24" s="10"/>
      <c r="I24" s="10"/>
      <c r="J24" s="10"/>
    </row>
    <row r="25" spans="1:10" ht="15" customHeight="1" x14ac:dyDescent="0.25">
      <c r="A25" s="8" t="s">
        <v>214</v>
      </c>
      <c r="B25" s="10"/>
      <c r="C25" s="10"/>
      <c r="D25" s="30"/>
      <c r="E25" s="10">
        <f>16.25/19.5</f>
        <v>0.83333333333333337</v>
      </c>
      <c r="F25" s="10">
        <f>7/18</f>
        <v>0.3888888888888889</v>
      </c>
      <c r="G25" s="10">
        <f>16.6/19.88</f>
        <v>0.83501006036217318</v>
      </c>
      <c r="H25" s="10"/>
      <c r="I25" s="10"/>
      <c r="J25" s="10"/>
    </row>
    <row r="26" spans="1:10" ht="15" customHeight="1" x14ac:dyDescent="0.25">
      <c r="A26" s="8" t="s">
        <v>165</v>
      </c>
      <c r="B26" s="10"/>
      <c r="C26" s="10"/>
      <c r="D26" s="30"/>
      <c r="E26" s="10"/>
      <c r="F26" s="10"/>
      <c r="G26" s="10">
        <v>0.03</v>
      </c>
      <c r="H26" s="10">
        <f>1/22</f>
        <v>4.5454545454545456E-2</v>
      </c>
      <c r="I26" s="10"/>
      <c r="J26" s="10">
        <f t="shared" ref="J26:J27" si="6">1/18.7</f>
        <v>5.3475935828877004E-2</v>
      </c>
    </row>
    <row r="27" spans="1:10" ht="15" customHeight="1" x14ac:dyDescent="0.25">
      <c r="A27" s="8" t="s">
        <v>134</v>
      </c>
      <c r="B27" s="10"/>
      <c r="C27" s="10"/>
      <c r="D27" s="30"/>
      <c r="E27" s="10"/>
      <c r="F27" s="10"/>
      <c r="G27" s="10">
        <v>0.03</v>
      </c>
      <c r="H27" s="10"/>
      <c r="I27" s="10"/>
      <c r="J27" s="10">
        <f t="shared" si="6"/>
        <v>5.3475935828877004E-2</v>
      </c>
    </row>
    <row r="28" spans="1:10" ht="15" customHeight="1" x14ac:dyDescent="0.25">
      <c r="A28" s="8" t="s">
        <v>271</v>
      </c>
      <c r="B28" s="10"/>
      <c r="C28" s="10"/>
      <c r="D28" s="30"/>
      <c r="E28" s="10"/>
      <c r="F28" s="10"/>
      <c r="G28" s="10">
        <f>0.46/19.88</f>
        <v>2.313883299798793E-2</v>
      </c>
      <c r="H28" s="10"/>
      <c r="I28" s="10"/>
      <c r="J28" s="10"/>
    </row>
    <row r="29" spans="1:10" ht="15" customHeight="1" x14ac:dyDescent="0.25">
      <c r="A29" s="16" t="s">
        <v>135</v>
      </c>
      <c r="B29" s="10"/>
      <c r="C29" s="10"/>
      <c r="D29" s="30"/>
      <c r="E29" s="10"/>
      <c r="F29" s="10"/>
      <c r="G29" s="10"/>
      <c r="H29" s="10"/>
      <c r="I29" s="21">
        <v>5.2999999999999999E-2</v>
      </c>
      <c r="J29" s="21"/>
    </row>
    <row r="30" spans="1:10" ht="15" customHeight="1" x14ac:dyDescent="0.25">
      <c r="A30" s="16" t="s">
        <v>153</v>
      </c>
      <c r="B30" s="10"/>
      <c r="C30" s="10"/>
      <c r="D30" s="30"/>
      <c r="E30" s="10"/>
      <c r="F30" s="10"/>
      <c r="G30" s="10"/>
      <c r="H30" s="10"/>
      <c r="I30" s="21">
        <v>2.3E-2</v>
      </c>
      <c r="J30" s="21"/>
    </row>
    <row r="31" spans="1:10" ht="15" customHeight="1" x14ac:dyDescent="0.25">
      <c r="A31" s="16" t="s">
        <v>233</v>
      </c>
      <c r="B31" s="10"/>
      <c r="C31" s="10"/>
      <c r="D31" s="30"/>
      <c r="E31" s="10"/>
      <c r="F31" s="10"/>
      <c r="G31" s="10"/>
      <c r="H31" s="10"/>
      <c r="I31" s="10"/>
      <c r="J31" s="10">
        <f>12/18.7</f>
        <v>0.64171122994652408</v>
      </c>
    </row>
    <row r="32" spans="1:10" ht="15" customHeight="1" x14ac:dyDescent="0.25">
      <c r="A32" s="16" t="s">
        <v>175</v>
      </c>
      <c r="B32" s="10"/>
      <c r="C32" s="10"/>
      <c r="D32" s="30"/>
      <c r="E32" s="10"/>
      <c r="F32" s="10"/>
      <c r="G32" s="10"/>
      <c r="H32" s="10"/>
      <c r="I32" s="21"/>
      <c r="J32" s="10">
        <f t="shared" ref="J32:J33" si="7">0.25/18.7</f>
        <v>1.3368983957219251E-2</v>
      </c>
    </row>
    <row r="33" spans="1:10" ht="15" customHeight="1" x14ac:dyDescent="0.25">
      <c r="A33" s="16" t="s">
        <v>349</v>
      </c>
      <c r="B33" s="10"/>
      <c r="C33" s="10"/>
      <c r="D33" s="30"/>
      <c r="E33" s="10"/>
      <c r="F33" s="10"/>
      <c r="G33" s="10"/>
      <c r="H33" s="10"/>
      <c r="I33" s="21"/>
      <c r="J33" s="10">
        <f t="shared" si="7"/>
        <v>1.3368983957219251E-2</v>
      </c>
    </row>
    <row r="34" spans="1:10" ht="15" customHeight="1" x14ac:dyDescent="0.25">
      <c r="A34" s="4"/>
      <c r="B34" s="4"/>
      <c r="C34" s="4"/>
      <c r="E34" s="4"/>
      <c r="F34" s="4"/>
    </row>
    <row r="35" spans="1:10" ht="15" customHeight="1" x14ac:dyDescent="0.25">
      <c r="A35" s="17" t="s">
        <v>28</v>
      </c>
      <c r="B35" s="20" t="s">
        <v>374</v>
      </c>
      <c r="C35" s="9"/>
      <c r="D35" s="31"/>
      <c r="E35" s="9"/>
      <c r="F35" s="9"/>
      <c r="G35" s="19"/>
      <c r="H35" s="9"/>
      <c r="I35" s="9"/>
      <c r="J35" s="9"/>
    </row>
    <row r="36" spans="1:10" ht="30" customHeight="1" x14ac:dyDescent="0.25">
      <c r="A36" s="17" t="s">
        <v>96</v>
      </c>
      <c r="B36" s="9"/>
      <c r="C36" s="9"/>
      <c r="D36" s="32"/>
      <c r="E36" s="19" t="s">
        <v>403</v>
      </c>
      <c r="F36" s="9"/>
      <c r="G36" s="9"/>
      <c r="H36" s="9"/>
      <c r="I36" s="9"/>
      <c r="J36" s="9"/>
    </row>
    <row r="37" spans="1:10" ht="15" customHeight="1" x14ac:dyDescent="0.25">
      <c r="A37" s="17" t="s">
        <v>113</v>
      </c>
      <c r="B37" s="19"/>
      <c r="C37" s="19"/>
      <c r="D37" s="32"/>
      <c r="E37" s="9"/>
      <c r="F37" s="9"/>
      <c r="G37" s="9" t="s">
        <v>303</v>
      </c>
      <c r="H37" s="9"/>
      <c r="I37" s="9"/>
      <c r="J37" s="9"/>
    </row>
    <row r="38" spans="1:10" ht="45" customHeight="1" x14ac:dyDescent="0.25">
      <c r="A38" s="18" t="s">
        <v>31</v>
      </c>
      <c r="B38" s="19"/>
      <c r="C38" s="19" t="s">
        <v>404</v>
      </c>
      <c r="D38" s="23" t="s">
        <v>98</v>
      </c>
      <c r="E38" s="32"/>
      <c r="F38" s="19"/>
      <c r="G38" s="32"/>
      <c r="H38" s="19" t="s">
        <v>374</v>
      </c>
      <c r="I38" s="22" t="s">
        <v>319</v>
      </c>
      <c r="J38" s="23" t="s">
        <v>98</v>
      </c>
    </row>
    <row r="39" spans="1:10" ht="60" customHeight="1" x14ac:dyDescent="0.25">
      <c r="A39" s="18" t="s">
        <v>39</v>
      </c>
      <c r="B39" s="19"/>
      <c r="C39" s="19"/>
      <c r="D39" s="32"/>
      <c r="E39" s="19"/>
      <c r="F39" s="19" t="s">
        <v>405</v>
      </c>
      <c r="G39" s="19" t="s">
        <v>195</v>
      </c>
      <c r="H39" s="19"/>
      <c r="I39" s="19"/>
      <c r="J39" s="19"/>
    </row>
    <row r="40" spans="1:10" ht="45" customHeight="1" x14ac:dyDescent="0.25">
      <c r="A40" s="18" t="s">
        <v>40</v>
      </c>
      <c r="B40" s="20" t="s">
        <v>206</v>
      </c>
      <c r="C40" s="9"/>
      <c r="D40" s="32"/>
      <c r="E40" s="19" t="s">
        <v>408</v>
      </c>
      <c r="F40" s="19" t="s">
        <v>226</v>
      </c>
      <c r="G40" s="19" t="s">
        <v>195</v>
      </c>
      <c r="H40" s="19" t="s">
        <v>195</v>
      </c>
      <c r="I40" s="19"/>
      <c r="J40" s="23" t="s">
        <v>98</v>
      </c>
    </row>
    <row r="41" spans="1:10" ht="15" customHeight="1" x14ac:dyDescent="0.25">
      <c r="A41" s="18" t="s">
        <v>85</v>
      </c>
      <c r="B41" s="9"/>
      <c r="C41" s="9"/>
      <c r="D41" s="32" t="s">
        <v>243</v>
      </c>
      <c r="E41" s="9"/>
      <c r="F41" s="19"/>
      <c r="G41" s="9"/>
      <c r="H41" s="19"/>
      <c r="I41" s="19"/>
      <c r="J41" s="19"/>
    </row>
    <row r="42" spans="1:10" ht="30" customHeight="1" x14ac:dyDescent="0.25">
      <c r="A42" s="18" t="s">
        <v>41</v>
      </c>
      <c r="B42" s="20" t="s">
        <v>206</v>
      </c>
      <c r="C42" s="9"/>
      <c r="D42" s="32"/>
      <c r="E42" s="19"/>
      <c r="F42" s="19"/>
      <c r="G42" s="19" t="s">
        <v>195</v>
      </c>
      <c r="H42" s="19"/>
      <c r="I42" s="19"/>
      <c r="J42" s="19"/>
    </row>
    <row r="43" spans="1:10" ht="15" customHeight="1" x14ac:dyDescent="0.25">
      <c r="A43" s="18" t="s">
        <v>43</v>
      </c>
      <c r="B43" s="9"/>
      <c r="C43" s="9" t="s">
        <v>196</v>
      </c>
      <c r="D43" s="32"/>
      <c r="E43" s="19"/>
      <c r="F43" s="19"/>
      <c r="G43" s="19"/>
      <c r="H43" s="19"/>
      <c r="I43" s="22" t="s">
        <v>195</v>
      </c>
      <c r="J43" s="22"/>
    </row>
    <row r="44" spans="1:10" ht="30" customHeight="1" x14ac:dyDescent="0.25">
      <c r="A44" s="18" t="s">
        <v>44</v>
      </c>
      <c r="B44" s="9"/>
      <c r="C44" s="9"/>
      <c r="D44" s="32"/>
      <c r="E44" s="19"/>
      <c r="F44" s="19"/>
      <c r="G44" s="19" t="s">
        <v>195</v>
      </c>
      <c r="H44" s="19"/>
      <c r="I44" s="19"/>
      <c r="J44" s="19"/>
    </row>
    <row r="45" spans="1:10" ht="30" customHeight="1" x14ac:dyDescent="0.25">
      <c r="A45" s="18" t="s">
        <v>45</v>
      </c>
      <c r="B45" s="19"/>
      <c r="C45" s="19" t="s">
        <v>170</v>
      </c>
      <c r="D45" s="32" t="s">
        <v>195</v>
      </c>
      <c r="E45" s="19" t="s">
        <v>47</v>
      </c>
      <c r="F45" s="19"/>
      <c r="G45" s="19"/>
      <c r="H45" s="19" t="s">
        <v>195</v>
      </c>
      <c r="I45" s="22" t="s">
        <v>195</v>
      </c>
      <c r="J45" s="22"/>
    </row>
    <row r="46" spans="1:10" ht="30" customHeight="1" x14ac:dyDescent="0.25">
      <c r="A46" s="18" t="s">
        <v>52</v>
      </c>
      <c r="B46" s="19"/>
      <c r="C46" s="19"/>
      <c r="D46" s="32"/>
      <c r="E46" s="19" t="s">
        <v>47</v>
      </c>
      <c r="F46" s="19"/>
      <c r="G46" s="19"/>
      <c r="H46" s="19" t="s">
        <v>195</v>
      </c>
      <c r="I46" s="19"/>
      <c r="J46" s="19"/>
    </row>
    <row r="47" spans="1:10" ht="15" customHeight="1" x14ac:dyDescent="0.25">
      <c r="A47" s="4"/>
      <c r="B47" s="4"/>
      <c r="C47" s="4"/>
      <c r="E47" s="4"/>
      <c r="F47" s="4"/>
    </row>
    <row r="48" spans="1:10" ht="15" customHeight="1" x14ac:dyDescent="0.25">
      <c r="A48" s="17" t="s">
        <v>53</v>
      </c>
      <c r="B48" s="20">
        <v>1.1020000000000001</v>
      </c>
      <c r="C48" s="9">
        <v>1.115</v>
      </c>
      <c r="D48" s="31">
        <v>1.135</v>
      </c>
      <c r="E48" s="9">
        <v>1.099</v>
      </c>
      <c r="F48" s="9">
        <v>1.1200000000000001</v>
      </c>
      <c r="G48" s="9">
        <v>1.091</v>
      </c>
      <c r="H48" s="9">
        <v>1.095</v>
      </c>
      <c r="I48" s="20" t="s">
        <v>305</v>
      </c>
      <c r="J48" s="20">
        <v>1.105</v>
      </c>
    </row>
    <row r="49" spans="1:10" ht="15" customHeight="1" x14ac:dyDescent="0.25">
      <c r="A49" s="17" t="s">
        <v>55</v>
      </c>
      <c r="B49" s="25">
        <v>1.026</v>
      </c>
      <c r="C49" s="24">
        <v>1.0349999999999999</v>
      </c>
      <c r="D49" s="34" t="s">
        <v>106</v>
      </c>
      <c r="E49" s="9">
        <v>1.024</v>
      </c>
      <c r="F49" s="9">
        <v>1.04</v>
      </c>
      <c r="G49" s="24">
        <v>1.026</v>
      </c>
      <c r="H49" s="9">
        <v>1.0249999999999999</v>
      </c>
      <c r="I49" s="20">
        <v>1.0289999999999999</v>
      </c>
      <c r="J49" s="20">
        <v>1.0349999999999999</v>
      </c>
    </row>
    <row r="50" spans="1:10" ht="15" customHeight="1" x14ac:dyDescent="0.25">
      <c r="A50" s="17" t="s">
        <v>57</v>
      </c>
      <c r="B50" s="37" t="s">
        <v>409</v>
      </c>
      <c r="C50" s="45" t="s">
        <v>410</v>
      </c>
      <c r="D50" s="31">
        <v>152</v>
      </c>
      <c r="E50" s="24" t="s">
        <v>411</v>
      </c>
      <c r="F50" s="9">
        <v>158</v>
      </c>
      <c r="G50" s="24">
        <v>152</v>
      </c>
      <c r="H50" s="9">
        <v>152</v>
      </c>
      <c r="I50" s="20">
        <v>152</v>
      </c>
      <c r="J50" s="20">
        <v>152</v>
      </c>
    </row>
    <row r="51" spans="1:10" ht="15" customHeight="1" x14ac:dyDescent="0.25">
      <c r="A51" s="17" t="s">
        <v>58</v>
      </c>
      <c r="B51" s="25">
        <v>1187</v>
      </c>
      <c r="C51" s="24" t="s">
        <v>252</v>
      </c>
      <c r="D51" s="34">
        <v>1728</v>
      </c>
      <c r="E51" s="24" t="s">
        <v>199</v>
      </c>
      <c r="F51" s="24">
        <v>1728</v>
      </c>
      <c r="G51" s="24" t="s">
        <v>251</v>
      </c>
      <c r="H51" s="24" t="s">
        <v>199</v>
      </c>
      <c r="I51" s="25" t="s">
        <v>199</v>
      </c>
      <c r="J51" s="25" t="s">
        <v>412</v>
      </c>
    </row>
    <row r="52" spans="1:10" ht="96.75" customHeight="1" x14ac:dyDescent="0.25">
      <c r="A52" s="66" t="s">
        <v>413</v>
      </c>
      <c r="B52" s="25"/>
      <c r="C52" s="24"/>
      <c r="D52" s="24"/>
      <c r="E52" s="24"/>
      <c r="F52" s="24"/>
      <c r="G52" s="24"/>
      <c r="H52" s="24"/>
      <c r="I52" s="25"/>
      <c r="J52" s="71" t="s">
        <v>415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6.5703125" customWidth="1"/>
    <col min="2" max="2" width="12.140625" customWidth="1"/>
    <col min="3" max="3" width="12.28515625" customWidth="1"/>
    <col min="4" max="4" width="10.7109375" customWidth="1"/>
    <col min="5" max="6" width="7.5703125" customWidth="1"/>
  </cols>
  <sheetData>
    <row r="1" spans="1:4" ht="23.25" customHeight="1" x14ac:dyDescent="0.35">
      <c r="A1" s="3" t="s">
        <v>383</v>
      </c>
      <c r="C1" s="4"/>
    </row>
    <row r="2" spans="1:4" ht="23.25" customHeight="1" x14ac:dyDescent="0.35">
      <c r="A2" s="3"/>
      <c r="C2" s="4"/>
    </row>
    <row r="3" spans="1:4" ht="23.25" customHeight="1" x14ac:dyDescent="0.25">
      <c r="A3" s="4"/>
      <c r="B3" s="53">
        <v>2005</v>
      </c>
      <c r="C3" s="53">
        <v>2009</v>
      </c>
      <c r="D3" s="52">
        <v>2016</v>
      </c>
    </row>
    <row r="4" spans="1:4" ht="15" customHeight="1" x14ac:dyDescent="0.25">
      <c r="A4" s="17" t="s">
        <v>233</v>
      </c>
      <c r="B4" s="54">
        <f>13/15</f>
        <v>0.8666666666666667</v>
      </c>
      <c r="C4" s="54"/>
      <c r="D4" s="54"/>
    </row>
    <row r="5" spans="1:4" ht="15" customHeight="1" x14ac:dyDescent="0.25">
      <c r="A5" s="17" t="s">
        <v>316</v>
      </c>
      <c r="B5" s="54">
        <f t="shared" ref="B5:B8" si="0">0.5/15</f>
        <v>3.3333333333333333E-2</v>
      </c>
      <c r="C5" s="55"/>
      <c r="D5" s="55"/>
    </row>
    <row r="6" spans="1:4" ht="15" customHeight="1" x14ac:dyDescent="0.25">
      <c r="A6" s="17" t="s">
        <v>384</v>
      </c>
      <c r="B6" s="54">
        <f t="shared" si="0"/>
        <v>3.3333333333333333E-2</v>
      </c>
      <c r="C6" s="54"/>
      <c r="D6" s="54"/>
    </row>
    <row r="7" spans="1:4" ht="15" customHeight="1" x14ac:dyDescent="0.25">
      <c r="A7" s="17" t="s">
        <v>17</v>
      </c>
      <c r="B7" s="54">
        <f t="shared" si="0"/>
        <v>3.3333333333333333E-2</v>
      </c>
      <c r="C7" s="55"/>
      <c r="D7" s="55"/>
    </row>
    <row r="8" spans="1:4" ht="15" customHeight="1" x14ac:dyDescent="0.25">
      <c r="A8" s="17" t="s">
        <v>385</v>
      </c>
      <c r="B8" s="54">
        <f t="shared" si="0"/>
        <v>3.3333333333333333E-2</v>
      </c>
      <c r="C8" s="54"/>
      <c r="D8" s="54"/>
    </row>
    <row r="9" spans="1:4" ht="15" customHeight="1" x14ac:dyDescent="0.25">
      <c r="A9" s="17" t="s">
        <v>214</v>
      </c>
      <c r="B9" s="54"/>
      <c r="C9" s="54">
        <f>13/13.25</f>
        <v>0.98113207547169812</v>
      </c>
      <c r="D9" s="54">
        <f>12.75/16.5</f>
        <v>0.77272727272727271</v>
      </c>
    </row>
    <row r="10" spans="1:4" ht="15" customHeight="1" x14ac:dyDescent="0.25">
      <c r="A10" s="17" t="s">
        <v>165</v>
      </c>
      <c r="B10" s="57"/>
      <c r="C10" s="54">
        <f>0.25/13.25</f>
        <v>1.8867924528301886E-2</v>
      </c>
      <c r="D10" s="54">
        <f>0.875/16.5</f>
        <v>5.3030303030303032E-2</v>
      </c>
    </row>
    <row r="11" spans="1:4" ht="15" customHeight="1" x14ac:dyDescent="0.25">
      <c r="A11" s="17" t="s">
        <v>72</v>
      </c>
      <c r="B11" s="57"/>
      <c r="C11" s="54"/>
      <c r="D11" s="54">
        <f>1.125/16.5</f>
        <v>6.8181818181818177E-2</v>
      </c>
    </row>
    <row r="12" spans="1:4" ht="15" customHeight="1" x14ac:dyDescent="0.25">
      <c r="A12" s="17" t="s">
        <v>311</v>
      </c>
      <c r="B12" s="57"/>
      <c r="C12" s="54"/>
      <c r="D12" s="54"/>
    </row>
    <row r="13" spans="1:4" ht="15" customHeight="1" x14ac:dyDescent="0.25">
      <c r="A13" s="17" t="s">
        <v>38</v>
      </c>
      <c r="B13" s="57"/>
      <c r="C13" s="54"/>
      <c r="D13" s="54">
        <f>0.875/16.5</f>
        <v>5.3030303030303032E-2</v>
      </c>
    </row>
    <row r="14" spans="1:4" ht="15" customHeight="1" x14ac:dyDescent="0.25">
      <c r="A14" s="17" t="s">
        <v>236</v>
      </c>
      <c r="B14" s="55"/>
      <c r="C14" s="55"/>
      <c r="D14" s="55"/>
    </row>
    <row r="15" spans="1:4" ht="15" customHeight="1" x14ac:dyDescent="0.25">
      <c r="A15" s="17" t="s">
        <v>308</v>
      </c>
      <c r="B15" s="57"/>
      <c r="C15" s="54"/>
      <c r="D15" s="54"/>
    </row>
    <row r="16" spans="1:4" ht="15" customHeight="1" x14ac:dyDescent="0.25">
      <c r="A16" s="17" t="s">
        <v>313</v>
      </c>
      <c r="B16" s="55"/>
      <c r="C16" s="55"/>
      <c r="D16" s="55"/>
    </row>
    <row r="17" spans="1:4" ht="15" customHeight="1" x14ac:dyDescent="0.25">
      <c r="A17" s="17" t="s">
        <v>237</v>
      </c>
      <c r="B17" s="55"/>
      <c r="C17" s="55"/>
      <c r="D17" s="55"/>
    </row>
    <row r="18" spans="1:4" ht="15" customHeight="1" x14ac:dyDescent="0.25">
      <c r="A18" s="17" t="s">
        <v>119</v>
      </c>
      <c r="B18" s="55"/>
      <c r="C18" s="55"/>
      <c r="D18" s="55"/>
    </row>
    <row r="19" spans="1:4" ht="15" customHeight="1" x14ac:dyDescent="0.25">
      <c r="A19" s="17" t="s">
        <v>128</v>
      </c>
      <c r="B19" s="54"/>
      <c r="C19" s="54"/>
      <c r="D19" s="54">
        <f>0.875/16.5</f>
        <v>5.3030303030303032E-2</v>
      </c>
    </row>
    <row r="20" spans="1:4" ht="15" customHeight="1" x14ac:dyDescent="0.25">
      <c r="A20" s="17" t="s">
        <v>134</v>
      </c>
      <c r="B20" s="54"/>
      <c r="C20" s="54"/>
      <c r="D20" s="54"/>
    </row>
    <row r="21" spans="1:4" ht="15" customHeight="1" x14ac:dyDescent="0.25">
      <c r="A21" s="17" t="s">
        <v>315</v>
      </c>
      <c r="B21" s="55"/>
      <c r="C21" s="55"/>
      <c r="D21" s="55"/>
    </row>
    <row r="22" spans="1:4" ht="15" customHeight="1" x14ac:dyDescent="0.25">
      <c r="A22" s="17" t="s">
        <v>316</v>
      </c>
      <c r="B22" s="55"/>
      <c r="C22" s="55"/>
      <c r="D22" s="55"/>
    </row>
    <row r="23" spans="1:4" ht="15" customHeight="1" x14ac:dyDescent="0.25">
      <c r="A23" s="27"/>
      <c r="B23" s="58"/>
      <c r="C23" s="58"/>
      <c r="D23" s="58"/>
    </row>
    <row r="24" spans="1:4" ht="15" customHeight="1" x14ac:dyDescent="0.25">
      <c r="A24" s="27"/>
      <c r="B24" s="58"/>
      <c r="C24" s="58"/>
      <c r="D24" s="58"/>
    </row>
    <row r="25" spans="1:4" ht="30" customHeight="1" x14ac:dyDescent="0.25">
      <c r="A25" s="17" t="s">
        <v>28</v>
      </c>
      <c r="B25" s="19" t="s">
        <v>195</v>
      </c>
      <c r="C25" s="9"/>
      <c r="D25" s="9"/>
    </row>
    <row r="26" spans="1:4" ht="15" customHeight="1" x14ac:dyDescent="0.25">
      <c r="A26" s="18" t="s">
        <v>31</v>
      </c>
      <c r="B26" s="9" t="s">
        <v>374</v>
      </c>
      <c r="C26" s="19" t="s">
        <v>374</v>
      </c>
      <c r="D26" s="22" t="s">
        <v>98</v>
      </c>
    </row>
    <row r="27" spans="1:4" ht="15" customHeight="1" x14ac:dyDescent="0.25">
      <c r="A27" s="18" t="s">
        <v>39</v>
      </c>
      <c r="B27" s="9"/>
      <c r="C27" s="19"/>
      <c r="D27" s="19"/>
    </row>
    <row r="28" spans="1:4" ht="15" customHeight="1" x14ac:dyDescent="0.25">
      <c r="A28" s="18" t="s">
        <v>40</v>
      </c>
      <c r="B28" s="9"/>
      <c r="C28" s="19"/>
      <c r="D28" s="19"/>
    </row>
    <row r="29" spans="1:4" ht="30" customHeight="1" x14ac:dyDescent="0.25">
      <c r="A29" s="18" t="s">
        <v>41</v>
      </c>
      <c r="B29" s="19" t="s">
        <v>195</v>
      </c>
      <c r="C29" s="19" t="s">
        <v>387</v>
      </c>
      <c r="D29" s="19"/>
    </row>
    <row r="30" spans="1:4" ht="15" customHeight="1" x14ac:dyDescent="0.25">
      <c r="A30" s="18" t="s">
        <v>43</v>
      </c>
      <c r="B30" s="9"/>
      <c r="C30" s="19"/>
      <c r="D30" s="22" t="s">
        <v>243</v>
      </c>
    </row>
    <row r="31" spans="1:4" ht="15" customHeight="1" x14ac:dyDescent="0.25">
      <c r="A31" s="18" t="s">
        <v>44</v>
      </c>
      <c r="B31" s="9"/>
      <c r="C31" s="19"/>
      <c r="D31" s="19"/>
    </row>
    <row r="32" spans="1:4" ht="15" customHeight="1" x14ac:dyDescent="0.25">
      <c r="A32" s="18" t="s">
        <v>45</v>
      </c>
      <c r="B32" s="9" t="s">
        <v>243</v>
      </c>
      <c r="C32" s="19" t="s">
        <v>196</v>
      </c>
      <c r="D32" s="19" t="s">
        <v>195</v>
      </c>
    </row>
    <row r="33" spans="1:4" ht="15" customHeight="1" x14ac:dyDescent="0.25">
      <c r="A33" s="18" t="s">
        <v>52</v>
      </c>
      <c r="B33" s="9" t="s">
        <v>205</v>
      </c>
      <c r="C33" s="19"/>
      <c r="D33" s="19" t="s">
        <v>195</v>
      </c>
    </row>
    <row r="34" spans="1:4" ht="15" customHeight="1" x14ac:dyDescent="0.25">
      <c r="A34" s="58"/>
      <c r="C34" s="4"/>
      <c r="D34" s="4"/>
    </row>
    <row r="35" spans="1:4" ht="15" customHeight="1" x14ac:dyDescent="0.25">
      <c r="A35" s="17" t="s">
        <v>53</v>
      </c>
      <c r="B35" s="9">
        <v>1.0640000000000001</v>
      </c>
      <c r="C35" s="9">
        <v>1.0720000000000001</v>
      </c>
      <c r="D35" s="20">
        <v>1.0629999999999999</v>
      </c>
    </row>
    <row r="36" spans="1:4" ht="15" customHeight="1" x14ac:dyDescent="0.25">
      <c r="A36" s="17" t="s">
        <v>55</v>
      </c>
      <c r="B36" s="9">
        <v>1.018</v>
      </c>
      <c r="C36" s="9">
        <v>1.02</v>
      </c>
      <c r="D36" s="20">
        <v>1.014</v>
      </c>
    </row>
    <row r="37" spans="1:4" ht="15" customHeight="1" x14ac:dyDescent="0.25">
      <c r="A37" s="17" t="s">
        <v>57</v>
      </c>
      <c r="B37" s="9">
        <v>152</v>
      </c>
      <c r="C37" s="9">
        <v>150</v>
      </c>
      <c r="D37" s="20">
        <v>152</v>
      </c>
    </row>
    <row r="38" spans="1:4" ht="15" customHeight="1" x14ac:dyDescent="0.25">
      <c r="A38" s="17" t="s">
        <v>58</v>
      </c>
      <c r="B38" s="24" t="s">
        <v>252</v>
      </c>
      <c r="C38" s="24">
        <v>1028</v>
      </c>
      <c r="D38" s="25" t="s">
        <v>251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A2" sqref="A2"/>
    </sheetView>
  </sheetViews>
  <sheetFormatPr defaultColWidth="15.140625" defaultRowHeight="15.75" customHeight="1" x14ac:dyDescent="0.25"/>
  <cols>
    <col min="1" max="3" width="15.42578125" customWidth="1"/>
    <col min="4" max="4" width="14.7109375" customWidth="1"/>
    <col min="5" max="5" width="15.42578125" customWidth="1"/>
    <col min="6" max="6" width="14.42578125" customWidth="1"/>
    <col min="7" max="7" width="12.5703125" customWidth="1"/>
    <col min="8" max="8" width="11.28515625" customWidth="1"/>
    <col min="9" max="9" width="11.42578125" customWidth="1"/>
    <col min="10" max="10" width="12.42578125" customWidth="1"/>
    <col min="11" max="11" width="11.28515625" customWidth="1"/>
    <col min="12" max="12" width="11.140625" customWidth="1"/>
    <col min="13" max="13" width="13.28515625" customWidth="1"/>
    <col min="14" max="14" width="12.140625" customWidth="1"/>
  </cols>
  <sheetData>
    <row r="1" spans="1:14" ht="23.25" customHeight="1" x14ac:dyDescent="0.35">
      <c r="A1" s="3" t="s">
        <v>386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</row>
    <row r="2" spans="1:14" ht="23.25" customHeight="1" x14ac:dyDescent="0.3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</row>
    <row r="3" spans="1:14" ht="23.25" customHeight="1" x14ac:dyDescent="0.25">
      <c r="A3" s="4"/>
      <c r="B3" s="52">
        <v>2000</v>
      </c>
      <c r="C3" s="52">
        <v>2001</v>
      </c>
      <c r="D3" s="52">
        <v>2002</v>
      </c>
      <c r="E3" s="52">
        <v>2003</v>
      </c>
      <c r="F3" s="53">
        <v>2004</v>
      </c>
      <c r="G3" s="53">
        <v>2006</v>
      </c>
      <c r="H3" s="53">
        <v>2007</v>
      </c>
      <c r="I3" s="53">
        <v>2011</v>
      </c>
      <c r="J3" s="53">
        <v>2012</v>
      </c>
      <c r="K3" s="53">
        <v>2013</v>
      </c>
      <c r="L3" s="53">
        <v>2014</v>
      </c>
      <c r="M3" s="52">
        <v>2015</v>
      </c>
      <c r="N3" s="52">
        <v>2016</v>
      </c>
    </row>
    <row r="4" spans="1:14" ht="15" customHeight="1" x14ac:dyDescent="0.25">
      <c r="A4" s="17" t="s">
        <v>214</v>
      </c>
      <c r="B4" s="54">
        <f>5/12.5</f>
        <v>0.4</v>
      </c>
      <c r="C4" s="54"/>
      <c r="D4" s="54">
        <f>23.5/24</f>
        <v>0.97916666666666663</v>
      </c>
      <c r="E4" s="54"/>
      <c r="F4" s="54">
        <f>14/24</f>
        <v>0.58333333333333337</v>
      </c>
      <c r="G4" s="54">
        <f>7/23</f>
        <v>0.30434782608695654</v>
      </c>
      <c r="H4" s="54">
        <f>10/24.5</f>
        <v>0.40816326530612246</v>
      </c>
      <c r="I4" s="54"/>
      <c r="J4" s="54"/>
      <c r="K4" s="54"/>
      <c r="L4" s="54"/>
      <c r="M4" s="56">
        <v>0.56699999999999995</v>
      </c>
      <c r="N4" s="56"/>
    </row>
    <row r="5" spans="1:14" ht="15" customHeight="1" x14ac:dyDescent="0.25">
      <c r="A5" s="17" t="s">
        <v>163</v>
      </c>
      <c r="B5" s="54"/>
      <c r="C5" s="54"/>
      <c r="D5" s="54"/>
      <c r="E5" s="54"/>
      <c r="F5" s="54">
        <f>4/24</f>
        <v>0.16666666666666666</v>
      </c>
      <c r="G5" s="54"/>
      <c r="H5" s="54"/>
      <c r="I5" s="54"/>
      <c r="J5" s="54"/>
      <c r="K5" s="54"/>
      <c r="L5" s="54"/>
      <c r="M5" s="54"/>
      <c r="N5" s="54"/>
    </row>
    <row r="6" spans="1:14" ht="15" customHeight="1" x14ac:dyDescent="0.25">
      <c r="A6" s="17" t="s">
        <v>128</v>
      </c>
      <c r="B6" s="54"/>
      <c r="C6" s="54"/>
      <c r="D6" s="54"/>
      <c r="E6" s="54">
        <f>1.5/24</f>
        <v>6.25E-2</v>
      </c>
      <c r="F6" s="54">
        <f>1.5/24</f>
        <v>6.25E-2</v>
      </c>
      <c r="G6" s="54"/>
      <c r="H6" s="54"/>
      <c r="I6" s="54"/>
      <c r="J6" s="54"/>
      <c r="K6" s="54"/>
      <c r="L6" s="54"/>
      <c r="M6" s="54"/>
      <c r="N6" s="54"/>
    </row>
    <row r="7" spans="1:14" ht="15" customHeight="1" x14ac:dyDescent="0.25">
      <c r="A7" s="17" t="s">
        <v>119</v>
      </c>
      <c r="B7" s="54"/>
      <c r="C7" s="54"/>
      <c r="D7" s="54"/>
      <c r="E7" s="54"/>
      <c r="F7" s="54">
        <f>1/24</f>
        <v>4.1666666666666664E-2</v>
      </c>
      <c r="G7" s="54"/>
      <c r="H7" s="54"/>
      <c r="I7" s="54"/>
      <c r="J7" s="54"/>
      <c r="K7" s="54"/>
      <c r="L7" s="54"/>
      <c r="M7" s="54"/>
      <c r="N7" s="54"/>
    </row>
    <row r="8" spans="1:14" ht="15" customHeight="1" x14ac:dyDescent="0.25">
      <c r="A8" s="17" t="s">
        <v>24</v>
      </c>
      <c r="B8" s="54">
        <f t="shared" ref="B8:B9" si="0">1/12.5</f>
        <v>0.08</v>
      </c>
      <c r="C8" s="56">
        <v>0.05</v>
      </c>
      <c r="D8" s="54"/>
      <c r="E8" s="54"/>
      <c r="F8" s="54">
        <f>1.5/24</f>
        <v>6.25E-2</v>
      </c>
      <c r="G8" s="54">
        <f>4.5/23</f>
        <v>0.19565217391304349</v>
      </c>
      <c r="H8" s="54">
        <f>6/24.5</f>
        <v>0.24489795918367346</v>
      </c>
      <c r="I8" s="54"/>
      <c r="J8" s="54"/>
      <c r="K8" s="54"/>
      <c r="L8" s="54"/>
      <c r="M8" s="54"/>
      <c r="N8" s="54"/>
    </row>
    <row r="9" spans="1:14" ht="15" customHeight="1" x14ac:dyDescent="0.25">
      <c r="A9" s="17" t="s">
        <v>38</v>
      </c>
      <c r="B9" s="54">
        <f t="shared" si="0"/>
        <v>0.08</v>
      </c>
      <c r="C9" s="65">
        <v>0.05</v>
      </c>
      <c r="D9" s="54"/>
      <c r="E9" s="54">
        <f>0.5/24</f>
        <v>2.0833333333333332E-2</v>
      </c>
      <c r="F9" s="54">
        <f t="shared" ref="F9:F10" si="1">1/24</f>
        <v>4.1666666666666664E-2</v>
      </c>
      <c r="G9" s="54"/>
      <c r="H9" s="54"/>
      <c r="I9" s="54"/>
      <c r="J9" s="54"/>
      <c r="K9" s="54"/>
      <c r="L9" s="54"/>
      <c r="M9" s="56">
        <v>6.7000000000000004E-2</v>
      </c>
      <c r="N9" s="56"/>
    </row>
    <row r="10" spans="1:14" ht="15" customHeight="1" x14ac:dyDescent="0.25">
      <c r="A10" s="17" t="s">
        <v>112</v>
      </c>
      <c r="B10" s="54"/>
      <c r="C10" s="54"/>
      <c r="D10" s="54"/>
      <c r="E10" s="54"/>
      <c r="F10" s="54">
        <f t="shared" si="1"/>
        <v>4.1666666666666664E-2</v>
      </c>
      <c r="G10" s="54">
        <f>8/23</f>
        <v>0.34782608695652173</v>
      </c>
      <c r="H10" s="54">
        <f>7/24.5</f>
        <v>0.2857142857142857</v>
      </c>
      <c r="I10" s="54">
        <f>14/16.25</f>
        <v>0.86153846153846159</v>
      </c>
      <c r="J10" s="54"/>
      <c r="K10" s="54"/>
      <c r="L10" s="54"/>
      <c r="M10" s="54"/>
      <c r="N10" s="54"/>
    </row>
    <row r="11" spans="1:14" ht="15" customHeight="1" x14ac:dyDescent="0.25">
      <c r="A11" s="17" t="s">
        <v>122</v>
      </c>
      <c r="B11" s="54"/>
      <c r="C11" s="54"/>
      <c r="D11" s="54"/>
      <c r="E11" s="54"/>
      <c r="F11" s="54"/>
      <c r="G11" s="54">
        <f>2/23</f>
        <v>8.6956521739130432E-2</v>
      </c>
      <c r="H11" s="54">
        <f t="shared" ref="H11:H13" si="2">0.5/24.5</f>
        <v>2.0408163265306121E-2</v>
      </c>
      <c r="I11" s="54"/>
      <c r="J11" s="54"/>
      <c r="K11" s="54"/>
      <c r="L11" s="54"/>
      <c r="M11" s="54"/>
      <c r="N11" s="54"/>
    </row>
    <row r="12" spans="1:14" ht="15" customHeight="1" x14ac:dyDescent="0.25">
      <c r="A12" s="17" t="s">
        <v>17</v>
      </c>
      <c r="B12" s="54"/>
      <c r="C12" s="54"/>
      <c r="D12" s="54"/>
      <c r="E12" s="54"/>
      <c r="F12" s="54"/>
      <c r="G12" s="54">
        <f>1.5/23</f>
        <v>6.5217391304347824E-2</v>
      </c>
      <c r="H12" s="54">
        <f t="shared" si="2"/>
        <v>2.0408163265306121E-2</v>
      </c>
      <c r="I12" s="54">
        <f>1/16.25</f>
        <v>6.1538461538461542E-2</v>
      </c>
      <c r="J12" s="54">
        <f>1.31/33.06</f>
        <v>3.9624924379915306E-2</v>
      </c>
      <c r="K12" s="54">
        <f>2/31</f>
        <v>6.4516129032258063E-2</v>
      </c>
      <c r="L12" s="54">
        <f>1.31/33.062</f>
        <v>3.9622527372814714E-2</v>
      </c>
      <c r="M12" s="54"/>
      <c r="N12" s="54"/>
    </row>
    <row r="13" spans="1:14" ht="15" customHeight="1" x14ac:dyDescent="0.25">
      <c r="A13" s="17" t="s">
        <v>123</v>
      </c>
      <c r="B13" s="54"/>
      <c r="C13" s="54"/>
      <c r="D13" s="54"/>
      <c r="E13" s="54"/>
      <c r="F13" s="54"/>
      <c r="G13" s="54"/>
      <c r="H13" s="54">
        <f t="shared" si="2"/>
        <v>2.0408163265306121E-2</v>
      </c>
      <c r="I13" s="54"/>
      <c r="J13" s="54"/>
      <c r="K13" s="54"/>
      <c r="L13" s="54"/>
      <c r="M13" s="54"/>
      <c r="N13" s="54"/>
    </row>
    <row r="14" spans="1:14" ht="15" customHeight="1" x14ac:dyDescent="0.25">
      <c r="A14" s="17" t="s">
        <v>391</v>
      </c>
      <c r="B14" s="54"/>
      <c r="C14" s="54"/>
      <c r="D14" s="54"/>
      <c r="E14" s="54"/>
      <c r="F14" s="54"/>
      <c r="G14" s="54"/>
      <c r="H14" s="54"/>
      <c r="I14" s="54">
        <f>0.75/16.25</f>
        <v>4.6153846153846156E-2</v>
      </c>
      <c r="J14" s="54">
        <f>0.5/33.06</f>
        <v>1.5124016938898971E-2</v>
      </c>
      <c r="K14" s="54"/>
      <c r="L14" s="54">
        <f>0.5/33.062</f>
        <v>1.5123102050692639E-2</v>
      </c>
      <c r="M14" s="54"/>
      <c r="N14" s="54"/>
    </row>
    <row r="15" spans="1:14" ht="15" customHeight="1" x14ac:dyDescent="0.25">
      <c r="A15" s="17" t="s">
        <v>269</v>
      </c>
      <c r="B15" s="54"/>
      <c r="C15" s="54"/>
      <c r="D15" s="54"/>
      <c r="E15" s="54"/>
      <c r="F15" s="54"/>
      <c r="G15" s="54"/>
      <c r="H15" s="54"/>
      <c r="I15" s="54">
        <f>0.5/16.25</f>
        <v>3.0769230769230771E-2</v>
      </c>
      <c r="J15" s="54"/>
      <c r="K15" s="54">
        <f>2/31</f>
        <v>6.4516129032258063E-2</v>
      </c>
      <c r="L15" s="54"/>
      <c r="M15" s="54"/>
      <c r="N15" s="54"/>
    </row>
    <row r="16" spans="1:14" ht="15" customHeight="1" x14ac:dyDescent="0.25">
      <c r="A16" s="17" t="s">
        <v>14</v>
      </c>
      <c r="B16" s="54">
        <f>3/12.5</f>
        <v>0.24</v>
      </c>
      <c r="C16" s="56">
        <v>0.76</v>
      </c>
      <c r="D16" s="54"/>
      <c r="E16" s="54">
        <f>20/24</f>
        <v>0.83333333333333337</v>
      </c>
      <c r="F16" s="54"/>
      <c r="G16" s="54"/>
      <c r="H16" s="54"/>
      <c r="I16" s="54"/>
      <c r="J16" s="54">
        <f>31.25/33.06</f>
        <v>0.94525105868118564</v>
      </c>
      <c r="K16" s="54">
        <f>26/31</f>
        <v>0.83870967741935487</v>
      </c>
      <c r="L16" s="54">
        <f>31.25/33.062</f>
        <v>0.94519387816828992</v>
      </c>
      <c r="M16" s="56">
        <v>0.33300000000000002</v>
      </c>
      <c r="N16" s="56">
        <f>7/16</f>
        <v>0.4375</v>
      </c>
    </row>
    <row r="17" spans="1:14" ht="15" customHeight="1" x14ac:dyDescent="0.25">
      <c r="A17" s="17" t="s">
        <v>137</v>
      </c>
      <c r="B17" s="54"/>
      <c r="C17" s="54"/>
      <c r="D17" s="54"/>
      <c r="E17" s="54"/>
      <c r="F17" s="54"/>
      <c r="G17" s="54"/>
      <c r="H17" s="54"/>
      <c r="I17" s="54"/>
      <c r="J17" s="54"/>
      <c r="K17" s="54">
        <f>1/31</f>
        <v>3.2258064516129031E-2</v>
      </c>
      <c r="L17" s="54"/>
      <c r="M17" s="54"/>
      <c r="N17" s="54"/>
    </row>
    <row r="18" spans="1:14" ht="15" customHeight="1" x14ac:dyDescent="0.25">
      <c r="A18" s="48" t="s">
        <v>311</v>
      </c>
      <c r="B18" s="54">
        <f>1/12.5</f>
        <v>0.08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4" ht="15" customHeight="1" x14ac:dyDescent="0.25">
      <c r="A19" s="48" t="s">
        <v>157</v>
      </c>
      <c r="B19" s="54">
        <f t="shared" ref="B19:B21" si="3">0.5/12.5</f>
        <v>0.04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4" ht="15" customHeight="1" x14ac:dyDescent="0.25">
      <c r="A20" s="48" t="s">
        <v>34</v>
      </c>
      <c r="B20" s="54">
        <f t="shared" si="3"/>
        <v>0.04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 ht="15" customHeight="1" x14ac:dyDescent="0.25">
      <c r="A21" s="48" t="s">
        <v>72</v>
      </c>
      <c r="B21" s="54">
        <f t="shared" si="3"/>
        <v>0.04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15" customHeight="1" x14ac:dyDescent="0.25">
      <c r="A22" s="48" t="s">
        <v>293</v>
      </c>
      <c r="B22" s="54"/>
      <c r="C22" s="56">
        <v>0.05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ht="15" customHeight="1" x14ac:dyDescent="0.25">
      <c r="A23" s="48" t="s">
        <v>74</v>
      </c>
      <c r="B23" s="54"/>
      <c r="C23" s="56">
        <v>0.05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" customHeight="1" x14ac:dyDescent="0.25">
      <c r="A24" s="48" t="s">
        <v>167</v>
      </c>
      <c r="B24" s="54"/>
      <c r="C24" s="56">
        <v>0.02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ht="15" customHeight="1" x14ac:dyDescent="0.25">
      <c r="A25" s="48" t="s">
        <v>164</v>
      </c>
      <c r="B25" s="54"/>
      <c r="C25" s="56">
        <v>0.02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5" customHeight="1" x14ac:dyDescent="0.25">
      <c r="A26" s="48" t="s">
        <v>165</v>
      </c>
      <c r="B26" s="54"/>
      <c r="C26" s="56"/>
      <c r="D26" s="54">
        <f>0.5/24</f>
        <v>2.0833333333333332E-2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ht="15" customHeight="1" x14ac:dyDescent="0.25">
      <c r="A27" s="48" t="s">
        <v>82</v>
      </c>
      <c r="B27" s="54"/>
      <c r="C27" s="56"/>
      <c r="D27" s="54"/>
      <c r="E27" s="54">
        <f>2/24</f>
        <v>8.3333333333333329E-2</v>
      </c>
      <c r="F27" s="54"/>
      <c r="G27" s="54"/>
      <c r="H27" s="54"/>
      <c r="I27" s="54"/>
      <c r="J27" s="54"/>
      <c r="K27" s="54"/>
      <c r="L27" s="54"/>
      <c r="M27" s="54"/>
      <c r="N27" s="54"/>
    </row>
    <row r="28" spans="1:14" ht="15" customHeight="1" x14ac:dyDescent="0.25">
      <c r="A28" s="48" t="s">
        <v>122</v>
      </c>
      <c r="B28" s="54"/>
      <c r="C28" s="56"/>
      <c r="D28" s="54"/>
      <c r="E28" s="54"/>
      <c r="F28" s="54"/>
      <c r="G28" s="54"/>
      <c r="H28" s="54"/>
      <c r="I28" s="54"/>
      <c r="J28" s="54"/>
      <c r="K28" s="54"/>
      <c r="L28" s="54"/>
      <c r="M28" s="56">
        <v>3.3000000000000002E-2</v>
      </c>
      <c r="N28" s="56"/>
    </row>
    <row r="29" spans="1:14" ht="15" customHeight="1" x14ac:dyDescent="0.25">
      <c r="A29" s="48" t="s">
        <v>19</v>
      </c>
      <c r="B29" s="54"/>
      <c r="C29" s="56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6">
        <f>7/16</f>
        <v>0.4375</v>
      </c>
    </row>
    <row r="30" spans="1:14" ht="15" customHeight="1" x14ac:dyDescent="0.25">
      <c r="A30" s="48" t="s">
        <v>175</v>
      </c>
      <c r="B30" s="54"/>
      <c r="C30" s="56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>
        <f t="shared" ref="N30:N31" si="4">0.5/16</f>
        <v>3.125E-2</v>
      </c>
    </row>
    <row r="31" spans="1:14" ht="15" customHeight="1" x14ac:dyDescent="0.25">
      <c r="A31" s="48" t="s">
        <v>20</v>
      </c>
      <c r="B31" s="54"/>
      <c r="C31" s="56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>
        <f t="shared" si="4"/>
        <v>3.125E-2</v>
      </c>
    </row>
    <row r="32" spans="1:14" ht="15" customHeight="1" x14ac:dyDescent="0.25">
      <c r="A32" s="48" t="s">
        <v>92</v>
      </c>
      <c r="B32" s="54"/>
      <c r="C32" s="56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>
        <f>(2/3)/16</f>
        <v>4.1666666666666664E-2</v>
      </c>
    </row>
    <row r="33" spans="1:14" ht="15" customHeight="1" x14ac:dyDescent="0.25">
      <c r="A33" s="48" t="s">
        <v>236</v>
      </c>
      <c r="B33" s="54"/>
      <c r="C33" s="56"/>
      <c r="D33" s="54"/>
      <c r="E33" s="54"/>
      <c r="F33" s="54"/>
      <c r="G33" s="54"/>
      <c r="H33" s="54"/>
      <c r="I33" s="54"/>
      <c r="J33" s="54"/>
      <c r="K33" s="54"/>
      <c r="L33" s="54"/>
      <c r="M33" s="56"/>
      <c r="N33" s="56">
        <f>(1/3)/16</f>
        <v>2.0833333333333332E-2</v>
      </c>
    </row>
    <row r="34" spans="1:14" ht="15" customHeight="1" x14ac:dyDescent="0.25">
      <c r="A34" s="2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</row>
    <row r="35" spans="1:14" ht="15" customHeight="1" x14ac:dyDescent="0.25">
      <c r="A35" s="17" t="s">
        <v>28</v>
      </c>
      <c r="B35" s="9"/>
      <c r="C35" s="9"/>
      <c r="D35" s="9"/>
      <c r="E35" s="20" t="s">
        <v>273</v>
      </c>
      <c r="F35" s="9"/>
      <c r="G35" s="9"/>
      <c r="H35" s="9"/>
      <c r="I35" s="9"/>
      <c r="J35" s="9" t="s">
        <v>374</v>
      </c>
      <c r="K35" s="9" t="s">
        <v>206</v>
      </c>
      <c r="L35" s="9" t="s">
        <v>374</v>
      </c>
      <c r="M35" s="9"/>
      <c r="N35" s="9"/>
    </row>
    <row r="36" spans="1:14" ht="15" customHeight="1" x14ac:dyDescent="0.25">
      <c r="A36" s="17" t="s">
        <v>96</v>
      </c>
      <c r="B36" s="9"/>
      <c r="C36" s="20" t="s">
        <v>374</v>
      </c>
      <c r="D36" s="9"/>
      <c r="E36" s="9"/>
      <c r="F36" s="9"/>
      <c r="G36" s="9" t="s">
        <v>319</v>
      </c>
      <c r="H36" s="9" t="s">
        <v>226</v>
      </c>
      <c r="I36" s="9" t="s">
        <v>226</v>
      </c>
      <c r="J36" s="9"/>
      <c r="K36" s="9"/>
      <c r="L36" s="9"/>
      <c r="M36" s="9"/>
      <c r="N36" s="9"/>
    </row>
    <row r="37" spans="1:14" ht="30" customHeight="1" x14ac:dyDescent="0.25">
      <c r="A37" s="18" t="s">
        <v>31</v>
      </c>
      <c r="B37" s="20" t="s">
        <v>138</v>
      </c>
      <c r="C37" s="9"/>
      <c r="D37" s="46" t="s">
        <v>417</v>
      </c>
      <c r="E37" s="20" t="s">
        <v>273</v>
      </c>
      <c r="F37" s="9" t="s">
        <v>138</v>
      </c>
      <c r="G37" s="19" t="s">
        <v>226</v>
      </c>
      <c r="H37" s="19" t="s">
        <v>418</v>
      </c>
      <c r="I37" s="9"/>
      <c r="J37" s="9" t="s">
        <v>319</v>
      </c>
      <c r="K37" s="9" t="s">
        <v>98</v>
      </c>
      <c r="L37" s="9" t="s">
        <v>319</v>
      </c>
      <c r="M37" s="20" t="s">
        <v>138</v>
      </c>
      <c r="N37" s="20" t="s">
        <v>226</v>
      </c>
    </row>
    <row r="38" spans="1:14" ht="15" customHeight="1" x14ac:dyDescent="0.25">
      <c r="A38" s="18" t="s">
        <v>39</v>
      </c>
      <c r="B38" s="9"/>
      <c r="C38" s="9"/>
      <c r="D38" s="9"/>
      <c r="E38" s="9"/>
      <c r="F38" s="9"/>
      <c r="G38" s="19" t="s">
        <v>138</v>
      </c>
      <c r="H38" s="19"/>
      <c r="I38" s="9" t="s">
        <v>419</v>
      </c>
      <c r="J38" s="9"/>
      <c r="K38" s="9" t="s">
        <v>320</v>
      </c>
      <c r="L38" s="9"/>
      <c r="M38" s="9"/>
      <c r="N38" s="9"/>
    </row>
    <row r="39" spans="1:14" ht="30" customHeight="1" x14ac:dyDescent="0.25">
      <c r="A39" s="18" t="s">
        <v>40</v>
      </c>
      <c r="B39" s="19"/>
      <c r="C39" s="19"/>
      <c r="D39" s="22" t="s">
        <v>138</v>
      </c>
      <c r="E39" s="19"/>
      <c r="F39" s="19" t="s">
        <v>322</v>
      </c>
      <c r="G39" s="19" t="s">
        <v>205</v>
      </c>
      <c r="H39" s="19" t="s">
        <v>205</v>
      </c>
      <c r="I39" s="9" t="s">
        <v>320</v>
      </c>
      <c r="J39" s="9" t="s">
        <v>394</v>
      </c>
      <c r="K39" s="19" t="s">
        <v>206</v>
      </c>
      <c r="L39" s="9" t="s">
        <v>394</v>
      </c>
      <c r="M39" s="9"/>
      <c r="N39" s="9"/>
    </row>
    <row r="40" spans="1:14" ht="30" customHeight="1" x14ac:dyDescent="0.25">
      <c r="A40" s="18" t="s">
        <v>420</v>
      </c>
      <c r="B40" s="19"/>
      <c r="C40" s="19"/>
      <c r="D40" s="19"/>
      <c r="E40" s="19"/>
      <c r="F40" s="19" t="s">
        <v>322</v>
      </c>
      <c r="G40" s="19"/>
      <c r="H40" s="19"/>
      <c r="I40" s="9"/>
      <c r="J40" s="9"/>
      <c r="K40" s="19"/>
      <c r="L40" s="19"/>
      <c r="M40" s="19"/>
      <c r="N40" s="19"/>
    </row>
    <row r="41" spans="1:14" ht="30" customHeight="1" x14ac:dyDescent="0.25">
      <c r="A41" s="18" t="s">
        <v>41</v>
      </c>
      <c r="B41" s="19"/>
      <c r="C41" s="19"/>
      <c r="D41" s="22" t="s">
        <v>206</v>
      </c>
      <c r="E41" s="22" t="s">
        <v>273</v>
      </c>
      <c r="F41" s="19" t="s">
        <v>322</v>
      </c>
      <c r="G41" s="19" t="s">
        <v>205</v>
      </c>
      <c r="H41" s="19" t="s">
        <v>329</v>
      </c>
      <c r="I41" s="9"/>
      <c r="J41" s="9"/>
      <c r="K41" s="9"/>
      <c r="L41" s="9"/>
      <c r="M41" s="9"/>
      <c r="N41" s="9"/>
    </row>
    <row r="42" spans="1:14" ht="30" customHeight="1" x14ac:dyDescent="0.25">
      <c r="A42" s="18" t="s">
        <v>43</v>
      </c>
      <c r="B42" s="22" t="s">
        <v>421</v>
      </c>
      <c r="C42" s="22" t="s">
        <v>422</v>
      </c>
      <c r="D42" s="19"/>
      <c r="E42" s="19"/>
      <c r="F42" s="19" t="s">
        <v>322</v>
      </c>
      <c r="G42" s="19"/>
      <c r="H42" s="19"/>
      <c r="I42" s="9"/>
      <c r="J42" s="9" t="s">
        <v>320</v>
      </c>
      <c r="K42" s="19"/>
      <c r="L42" s="19" t="s">
        <v>423</v>
      </c>
      <c r="M42" s="22" t="s">
        <v>425</v>
      </c>
      <c r="N42" s="22"/>
    </row>
    <row r="43" spans="1:14" ht="30" customHeight="1" x14ac:dyDescent="0.25">
      <c r="A43" s="18" t="s">
        <v>426</v>
      </c>
      <c r="B43" s="19"/>
      <c r="C43" s="19"/>
      <c r="D43" s="19"/>
      <c r="E43" s="19"/>
      <c r="F43" s="19" t="s">
        <v>322</v>
      </c>
      <c r="G43" s="19"/>
      <c r="H43" s="19"/>
      <c r="I43" s="9"/>
      <c r="J43" s="9"/>
      <c r="K43" s="19"/>
      <c r="L43" s="19"/>
      <c r="M43" s="19"/>
      <c r="N43" s="19"/>
    </row>
    <row r="44" spans="1:14" ht="30" customHeight="1" x14ac:dyDescent="0.25">
      <c r="A44" s="18" t="s">
        <v>44</v>
      </c>
      <c r="B44" s="19"/>
      <c r="C44" s="19"/>
      <c r="D44" s="19"/>
      <c r="E44" s="22" t="s">
        <v>138</v>
      </c>
      <c r="F44" s="19" t="s">
        <v>322</v>
      </c>
      <c r="G44" s="19" t="s">
        <v>205</v>
      </c>
      <c r="H44" s="19" t="s">
        <v>427</v>
      </c>
      <c r="I44" s="9"/>
      <c r="J44" s="9"/>
      <c r="K44" s="9"/>
      <c r="L44" s="9"/>
      <c r="M44" s="9"/>
      <c r="N44" s="9"/>
    </row>
    <row r="45" spans="1:14" ht="30" customHeight="1" x14ac:dyDescent="0.25">
      <c r="A45" s="18" t="s">
        <v>428</v>
      </c>
      <c r="B45" s="19"/>
      <c r="C45" s="19"/>
      <c r="D45" s="22" t="s">
        <v>429</v>
      </c>
      <c r="E45" s="19"/>
      <c r="F45" s="19" t="s">
        <v>322</v>
      </c>
      <c r="G45" s="19"/>
      <c r="H45" s="19"/>
      <c r="I45" s="9"/>
      <c r="J45" s="9"/>
      <c r="K45" s="9"/>
      <c r="L45" s="9"/>
      <c r="M45" s="9"/>
      <c r="N45" s="9"/>
    </row>
    <row r="46" spans="1:14" ht="75" customHeight="1" x14ac:dyDescent="0.25">
      <c r="A46" s="18" t="s">
        <v>45</v>
      </c>
      <c r="B46" s="19"/>
      <c r="C46" s="19"/>
      <c r="D46" s="19"/>
      <c r="E46" s="19"/>
      <c r="F46" s="19" t="s">
        <v>322</v>
      </c>
      <c r="G46" s="19"/>
      <c r="H46" s="19" t="s">
        <v>430</v>
      </c>
      <c r="I46" s="19" t="s">
        <v>427</v>
      </c>
      <c r="J46" s="19" t="s">
        <v>396</v>
      </c>
      <c r="K46" s="19" t="s">
        <v>325</v>
      </c>
      <c r="L46" s="19" t="s">
        <v>398</v>
      </c>
      <c r="M46" s="19"/>
      <c r="N46" s="22" t="s">
        <v>431</v>
      </c>
    </row>
    <row r="47" spans="1:14" ht="75" customHeight="1" x14ac:dyDescent="0.25">
      <c r="A47" s="38" t="s">
        <v>432</v>
      </c>
      <c r="B47" s="22"/>
      <c r="C47" s="9"/>
      <c r="D47" s="20"/>
      <c r="E47" s="20"/>
      <c r="F47" s="9"/>
      <c r="G47" s="19"/>
      <c r="H47" s="19"/>
      <c r="I47" s="19"/>
      <c r="J47" s="19"/>
      <c r="K47" s="19"/>
      <c r="L47" s="19"/>
      <c r="M47" s="22"/>
      <c r="N47" s="22" t="s">
        <v>431</v>
      </c>
    </row>
    <row r="48" spans="1:14" ht="75" customHeight="1" x14ac:dyDescent="0.25">
      <c r="A48" s="18" t="s">
        <v>52</v>
      </c>
      <c r="B48" s="22" t="s">
        <v>433</v>
      </c>
      <c r="C48" s="9"/>
      <c r="D48" s="46" t="s">
        <v>323</v>
      </c>
      <c r="E48" s="20" t="s">
        <v>138</v>
      </c>
      <c r="F48" s="9" t="s">
        <v>206</v>
      </c>
      <c r="G48" s="19"/>
      <c r="H48" s="19" t="s">
        <v>434</v>
      </c>
      <c r="I48" s="19" t="s">
        <v>436</v>
      </c>
      <c r="J48" s="19" t="s">
        <v>398</v>
      </c>
      <c r="K48" s="19" t="s">
        <v>437</v>
      </c>
      <c r="L48" s="19" t="s">
        <v>398</v>
      </c>
      <c r="M48" s="22" t="s">
        <v>438</v>
      </c>
      <c r="N48" s="22" t="s">
        <v>439</v>
      </c>
    </row>
    <row r="49" spans="1:14" ht="15" customHeight="1" x14ac:dyDescent="0.25">
      <c r="A49" s="5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5" customHeight="1" x14ac:dyDescent="0.25">
      <c r="A50" s="17" t="s">
        <v>53</v>
      </c>
      <c r="B50" s="20">
        <v>1.0680000000000001</v>
      </c>
      <c r="C50" s="20">
        <v>1.0740000000000001</v>
      </c>
      <c r="D50" s="20">
        <v>1.07</v>
      </c>
      <c r="E50" s="20">
        <v>1.0620000000000001</v>
      </c>
      <c r="F50" s="9">
        <v>1.0649999999999999</v>
      </c>
      <c r="G50" s="24" t="s">
        <v>106</v>
      </c>
      <c r="H50" s="9">
        <v>1.0629999999999999</v>
      </c>
      <c r="I50" s="9">
        <v>1.0760000000000001</v>
      </c>
      <c r="J50" s="9">
        <v>1.0649999999999999</v>
      </c>
      <c r="K50" s="9">
        <v>1.0680000000000001</v>
      </c>
      <c r="L50" s="9">
        <v>1.0669999999999999</v>
      </c>
      <c r="M50" s="20">
        <v>1.0720000000000001</v>
      </c>
      <c r="N50" s="20">
        <v>1.077</v>
      </c>
    </row>
    <row r="51" spans="1:14" ht="15" customHeight="1" x14ac:dyDescent="0.25">
      <c r="A51" s="17" t="s">
        <v>55</v>
      </c>
      <c r="B51" s="20">
        <v>1.018</v>
      </c>
      <c r="C51" s="20">
        <v>1.024</v>
      </c>
      <c r="D51" s="20">
        <v>1.014</v>
      </c>
      <c r="E51" s="20">
        <v>1.012</v>
      </c>
      <c r="F51" s="9">
        <v>1.018</v>
      </c>
      <c r="G51" s="24" t="s">
        <v>106</v>
      </c>
      <c r="H51" s="9">
        <v>1.0149999999999999</v>
      </c>
      <c r="I51" s="9">
        <v>1.014</v>
      </c>
      <c r="J51" s="9">
        <v>1.014</v>
      </c>
      <c r="K51" s="9">
        <v>1.0109999999999999</v>
      </c>
      <c r="L51" s="9">
        <v>1.0109999999999999</v>
      </c>
      <c r="M51" s="20">
        <v>1.012</v>
      </c>
      <c r="N51" s="20">
        <v>1.02</v>
      </c>
    </row>
    <row r="52" spans="1:14" ht="15" customHeight="1" x14ac:dyDescent="0.25">
      <c r="A52" s="17" t="s">
        <v>57</v>
      </c>
      <c r="B52" s="20">
        <v>156</v>
      </c>
      <c r="C52" s="20">
        <v>154</v>
      </c>
      <c r="D52" s="20">
        <v>149</v>
      </c>
      <c r="E52" s="20">
        <v>152</v>
      </c>
      <c r="F52" s="9">
        <v>155</v>
      </c>
      <c r="G52" s="9">
        <v>154</v>
      </c>
      <c r="H52" s="9">
        <v>153</v>
      </c>
      <c r="I52" s="9">
        <v>155</v>
      </c>
      <c r="J52" s="9">
        <v>152</v>
      </c>
      <c r="K52" s="9">
        <v>151</v>
      </c>
      <c r="L52" s="9">
        <v>152</v>
      </c>
      <c r="M52" s="20">
        <v>152</v>
      </c>
      <c r="N52" s="20">
        <v>144</v>
      </c>
    </row>
    <row r="53" spans="1:14" ht="15" customHeight="1" x14ac:dyDescent="0.25">
      <c r="A53" s="17" t="s">
        <v>58</v>
      </c>
      <c r="B53" s="25">
        <v>1272</v>
      </c>
      <c r="C53" s="25" t="s">
        <v>252</v>
      </c>
      <c r="D53" s="25" t="s">
        <v>199</v>
      </c>
      <c r="E53" s="25">
        <v>1056</v>
      </c>
      <c r="F53" s="24" t="s">
        <v>199</v>
      </c>
      <c r="G53" s="24">
        <v>1968</v>
      </c>
      <c r="H53" s="9">
        <v>1968</v>
      </c>
      <c r="I53" s="24">
        <v>1764</v>
      </c>
      <c r="J53" s="24" t="s">
        <v>199</v>
      </c>
      <c r="K53" s="24" t="s">
        <v>199</v>
      </c>
      <c r="L53" s="24" t="s">
        <v>199</v>
      </c>
      <c r="M53" s="25">
        <v>1056</v>
      </c>
      <c r="N53" s="25">
        <v>1318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3.5703125" customWidth="1"/>
    <col min="2" max="2" width="13.85546875" customWidth="1"/>
    <col min="3" max="3" width="14.5703125" customWidth="1"/>
    <col min="4" max="6" width="7.5703125" customWidth="1"/>
  </cols>
  <sheetData>
    <row r="1" spans="1:3" ht="23.25" customHeight="1" x14ac:dyDescent="0.35">
      <c r="A1" s="3" t="s">
        <v>389</v>
      </c>
      <c r="B1" s="4"/>
      <c r="C1" s="4"/>
    </row>
    <row r="2" spans="1:3" ht="23.25" customHeight="1" x14ac:dyDescent="0.35">
      <c r="A2" s="3"/>
      <c r="B2" s="4"/>
      <c r="C2" s="4"/>
    </row>
    <row r="3" spans="1:3" ht="23.25" customHeight="1" x14ac:dyDescent="0.25">
      <c r="A3" s="4"/>
      <c r="B3" s="53">
        <v>2008</v>
      </c>
      <c r="C3" s="53">
        <v>2010</v>
      </c>
    </row>
    <row r="4" spans="1:3" ht="15" customHeight="1" x14ac:dyDescent="0.25">
      <c r="A4" s="17" t="s">
        <v>214</v>
      </c>
      <c r="B4" s="54">
        <f>23/58.42</f>
        <v>0.39370078740157477</v>
      </c>
      <c r="C4" s="54"/>
    </row>
    <row r="5" spans="1:3" ht="15" customHeight="1" x14ac:dyDescent="0.25">
      <c r="A5" s="17" t="s">
        <v>112</v>
      </c>
      <c r="B5" s="54">
        <f>26.46/58.42</f>
        <v>0.45292707976720303</v>
      </c>
      <c r="C5" s="55"/>
    </row>
    <row r="6" spans="1:3" ht="15" customHeight="1" x14ac:dyDescent="0.25">
      <c r="A6" s="17" t="s">
        <v>390</v>
      </c>
      <c r="B6" s="57">
        <f>4.26/58.42</f>
        <v>7.2920232796987325E-2</v>
      </c>
      <c r="C6" s="54"/>
    </row>
    <row r="7" spans="1:3" ht="15" customHeight="1" x14ac:dyDescent="0.25">
      <c r="A7" s="17" t="s">
        <v>17</v>
      </c>
      <c r="B7" s="54">
        <f>3.5/58.42</f>
        <v>5.9910989387196162E-2</v>
      </c>
      <c r="C7" s="54">
        <f>21/16/33.06</f>
        <v>3.9700544464609799E-2</v>
      </c>
    </row>
    <row r="8" spans="1:3" ht="15" customHeight="1" x14ac:dyDescent="0.25">
      <c r="A8" s="17" t="s">
        <v>391</v>
      </c>
      <c r="B8" s="54">
        <f>1.2/58.42</f>
        <v>2.0540910647038686E-2</v>
      </c>
      <c r="C8" s="54">
        <f>0.5/33.06</f>
        <v>1.5124016938898971E-2</v>
      </c>
    </row>
    <row r="9" spans="1:3" ht="15" customHeight="1" x14ac:dyDescent="0.25">
      <c r="A9" s="17" t="s">
        <v>14</v>
      </c>
      <c r="B9" s="54"/>
      <c r="C9" s="54">
        <f>31.25/33.06</f>
        <v>0.94525105868118564</v>
      </c>
    </row>
    <row r="10" spans="1:3" ht="15" customHeight="1" x14ac:dyDescent="0.25">
      <c r="A10" s="27"/>
      <c r="B10" s="58"/>
      <c r="C10" s="58"/>
    </row>
    <row r="11" spans="1:3" ht="15" customHeight="1" x14ac:dyDescent="0.25">
      <c r="A11" s="27"/>
      <c r="B11" s="58"/>
      <c r="C11" s="58"/>
    </row>
    <row r="12" spans="1:3" ht="15" customHeight="1" x14ac:dyDescent="0.25">
      <c r="A12" s="17" t="s">
        <v>28</v>
      </c>
      <c r="B12" s="9" t="s">
        <v>374</v>
      </c>
      <c r="C12" s="9" t="s">
        <v>374</v>
      </c>
    </row>
    <row r="13" spans="1:3" ht="45" customHeight="1" x14ac:dyDescent="0.25">
      <c r="A13" s="17" t="s">
        <v>96</v>
      </c>
      <c r="B13" s="19" t="s">
        <v>393</v>
      </c>
      <c r="C13" s="9"/>
    </row>
    <row r="14" spans="1:3" ht="15" customHeight="1" x14ac:dyDescent="0.25">
      <c r="A14" s="18" t="s">
        <v>31</v>
      </c>
      <c r="B14" s="19"/>
      <c r="C14" s="19" t="s">
        <v>319</v>
      </c>
    </row>
    <row r="15" spans="1:3" ht="15" customHeight="1" x14ac:dyDescent="0.25">
      <c r="A15" s="18" t="s">
        <v>39</v>
      </c>
      <c r="B15" s="19" t="s">
        <v>320</v>
      </c>
      <c r="C15" s="19"/>
    </row>
    <row r="16" spans="1:3" ht="45" customHeight="1" x14ac:dyDescent="0.25">
      <c r="A16" s="18" t="s">
        <v>40</v>
      </c>
      <c r="B16" s="19" t="s">
        <v>393</v>
      </c>
      <c r="C16" s="19" t="s">
        <v>394</v>
      </c>
    </row>
    <row r="17" spans="1:3" ht="15" customHeight="1" x14ac:dyDescent="0.25">
      <c r="A17" s="18" t="s">
        <v>41</v>
      </c>
      <c r="B17" s="19"/>
      <c r="C17" s="19"/>
    </row>
    <row r="18" spans="1:3" ht="15" customHeight="1" x14ac:dyDescent="0.25">
      <c r="A18" s="18" t="s">
        <v>43</v>
      </c>
      <c r="B18" s="19"/>
      <c r="C18" s="19" t="s">
        <v>320</v>
      </c>
    </row>
    <row r="19" spans="1:3" ht="15" customHeight="1" x14ac:dyDescent="0.25">
      <c r="A19" s="18" t="s">
        <v>44</v>
      </c>
      <c r="B19" s="19"/>
      <c r="C19" s="19"/>
    </row>
    <row r="20" spans="1:3" ht="60" customHeight="1" x14ac:dyDescent="0.25">
      <c r="A20" s="18" t="s">
        <v>45</v>
      </c>
      <c r="B20" s="19" t="s">
        <v>325</v>
      </c>
      <c r="C20" s="19" t="s">
        <v>396</v>
      </c>
    </row>
    <row r="21" spans="1:3" ht="75" customHeight="1" x14ac:dyDescent="0.25">
      <c r="A21" s="18" t="s">
        <v>52</v>
      </c>
      <c r="B21" s="19" t="s">
        <v>397</v>
      </c>
      <c r="C21" s="19" t="s">
        <v>398</v>
      </c>
    </row>
    <row r="22" spans="1:3" ht="15" customHeight="1" x14ac:dyDescent="0.25">
      <c r="A22" s="58"/>
      <c r="B22" s="4"/>
      <c r="C22" s="4"/>
    </row>
    <row r="23" spans="1:3" ht="15" customHeight="1" x14ac:dyDescent="0.25">
      <c r="A23" s="17" t="s">
        <v>53</v>
      </c>
      <c r="B23" s="9">
        <v>1.07</v>
      </c>
      <c r="C23" s="9">
        <v>1.0649999999999999</v>
      </c>
    </row>
    <row r="24" spans="1:3" ht="15" customHeight="1" x14ac:dyDescent="0.25">
      <c r="A24" s="17" t="s">
        <v>55</v>
      </c>
      <c r="B24" s="9">
        <v>1.012</v>
      </c>
      <c r="C24" s="9">
        <v>1.014</v>
      </c>
    </row>
    <row r="25" spans="1:3" ht="15" customHeight="1" x14ac:dyDescent="0.25">
      <c r="A25" s="17" t="s">
        <v>57</v>
      </c>
      <c r="B25" s="9">
        <v>152</v>
      </c>
      <c r="C25" s="9">
        <v>152</v>
      </c>
    </row>
    <row r="26" spans="1:3" ht="15" customHeight="1" x14ac:dyDescent="0.25">
      <c r="A26" s="17" t="s">
        <v>58</v>
      </c>
      <c r="B26" s="24" t="s">
        <v>399</v>
      </c>
      <c r="C26" s="24" t="s">
        <v>199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4.85546875" customWidth="1"/>
    <col min="2" max="2" width="16.85546875" customWidth="1"/>
    <col min="3" max="3" width="11.140625" customWidth="1"/>
    <col min="4" max="4" width="12.42578125" customWidth="1"/>
    <col min="5" max="5" width="9.85546875" customWidth="1"/>
    <col min="6" max="6" width="12.42578125" customWidth="1"/>
    <col min="7" max="7" width="13.85546875" customWidth="1"/>
  </cols>
  <sheetData>
    <row r="1" spans="1:7" ht="23.25" customHeight="1" x14ac:dyDescent="0.35">
      <c r="A1" s="3" t="s">
        <v>400</v>
      </c>
      <c r="B1" s="3"/>
      <c r="C1" s="4"/>
      <c r="D1" s="4"/>
      <c r="E1" s="4"/>
      <c r="F1" s="4"/>
    </row>
    <row r="2" spans="1:7" ht="23.25" customHeight="1" x14ac:dyDescent="0.35">
      <c r="A2" s="3"/>
      <c r="B2" s="3"/>
      <c r="C2" s="4"/>
      <c r="D2" s="4"/>
      <c r="E2" s="4"/>
      <c r="F2" s="4"/>
    </row>
    <row r="3" spans="1:7" ht="23.25" customHeight="1" x14ac:dyDescent="0.25">
      <c r="A3" s="4"/>
      <c r="B3" s="52">
        <v>2000</v>
      </c>
      <c r="C3" s="53">
        <v>2005</v>
      </c>
      <c r="D3" s="53">
        <v>2008</v>
      </c>
      <c r="E3" s="53">
        <v>2009</v>
      </c>
      <c r="F3" s="53">
        <v>2013</v>
      </c>
      <c r="G3" s="52">
        <v>2016</v>
      </c>
    </row>
    <row r="4" spans="1:7" ht="15" customHeight="1" x14ac:dyDescent="0.25">
      <c r="A4" s="17" t="s">
        <v>19</v>
      </c>
      <c r="B4" s="54">
        <f>5/12.5</f>
        <v>0.4</v>
      </c>
      <c r="C4" s="54">
        <f>10/21</f>
        <v>0.47619047619047616</v>
      </c>
      <c r="D4" s="54">
        <f>4.5/10.5</f>
        <v>0.42857142857142855</v>
      </c>
      <c r="E4" s="54">
        <v>0.4</v>
      </c>
      <c r="F4" s="54">
        <f>3.65/9.25</f>
        <v>0.39459459459459456</v>
      </c>
      <c r="G4" s="56">
        <v>0.5</v>
      </c>
    </row>
    <row r="5" spans="1:7" ht="15" customHeight="1" x14ac:dyDescent="0.25">
      <c r="A5" s="17" t="s">
        <v>38</v>
      </c>
      <c r="B5" s="54">
        <f>7.5/12.5</f>
        <v>0.6</v>
      </c>
      <c r="C5" s="54">
        <f>11/21</f>
        <v>0.52380952380952384</v>
      </c>
      <c r="D5" s="54">
        <f>6/10.5</f>
        <v>0.5714285714285714</v>
      </c>
      <c r="E5" s="54">
        <v>0.6</v>
      </c>
      <c r="F5" s="54">
        <f>5.6/9.25</f>
        <v>0.60540540540540533</v>
      </c>
      <c r="G5" s="56">
        <v>0.5</v>
      </c>
    </row>
    <row r="6" spans="1:7" ht="15" customHeight="1" x14ac:dyDescent="0.25">
      <c r="A6" s="27"/>
      <c r="B6" s="58"/>
      <c r="C6" s="58"/>
      <c r="D6" s="58"/>
      <c r="E6" s="58"/>
      <c r="F6" s="58"/>
      <c r="G6" s="58"/>
    </row>
    <row r="7" spans="1:7" ht="15" customHeight="1" x14ac:dyDescent="0.25">
      <c r="A7" s="27"/>
      <c r="B7" s="58"/>
      <c r="C7" s="58"/>
      <c r="D7" s="58"/>
      <c r="E7" s="58"/>
      <c r="F7" s="58"/>
      <c r="G7" s="58"/>
    </row>
    <row r="8" spans="1:7" ht="15" customHeight="1" x14ac:dyDescent="0.25">
      <c r="A8" s="17" t="s">
        <v>28</v>
      </c>
      <c r="B8" s="9"/>
      <c r="C8" s="9"/>
      <c r="D8" s="9"/>
      <c r="E8" s="9"/>
      <c r="F8" s="9"/>
      <c r="G8" s="9"/>
    </row>
    <row r="9" spans="1:7" ht="15" customHeight="1" x14ac:dyDescent="0.25">
      <c r="A9" s="38" t="s">
        <v>96</v>
      </c>
      <c r="B9" s="9"/>
      <c r="C9" s="9"/>
      <c r="D9" s="19"/>
      <c r="E9" s="19"/>
      <c r="F9" s="9"/>
      <c r="G9" s="46" t="s">
        <v>401</v>
      </c>
    </row>
    <row r="10" spans="1:7" ht="15" customHeight="1" x14ac:dyDescent="0.25">
      <c r="A10" s="18" t="s">
        <v>31</v>
      </c>
      <c r="B10" s="9"/>
      <c r="C10" s="9" t="s">
        <v>158</v>
      </c>
      <c r="D10" s="19" t="s">
        <v>36</v>
      </c>
      <c r="E10" s="19" t="s">
        <v>95</v>
      </c>
      <c r="F10" s="9" t="s">
        <v>36</v>
      </c>
      <c r="G10" s="46" t="s">
        <v>401</v>
      </c>
    </row>
    <row r="11" spans="1:7" ht="30.75" customHeight="1" x14ac:dyDescent="0.25">
      <c r="A11" s="18" t="s">
        <v>39</v>
      </c>
      <c r="B11" s="22" t="s">
        <v>402</v>
      </c>
      <c r="C11" s="9"/>
      <c r="D11" s="19"/>
      <c r="E11" s="19"/>
      <c r="F11" s="9"/>
      <c r="G11" s="9"/>
    </row>
    <row r="12" spans="1:7" ht="15" customHeight="1" x14ac:dyDescent="0.25">
      <c r="A12" s="18" t="s">
        <v>40</v>
      </c>
      <c r="B12" s="19"/>
      <c r="C12" s="19"/>
      <c r="D12" s="19"/>
      <c r="E12" s="19"/>
      <c r="F12" s="9"/>
      <c r="G12" s="9"/>
    </row>
    <row r="13" spans="1:7" ht="15" customHeight="1" x14ac:dyDescent="0.25">
      <c r="A13" s="18" t="s">
        <v>41</v>
      </c>
      <c r="B13" s="19"/>
      <c r="C13" s="19" t="s">
        <v>49</v>
      </c>
      <c r="D13" s="19"/>
      <c r="E13" s="19"/>
      <c r="F13" s="9"/>
      <c r="G13" s="9"/>
    </row>
    <row r="14" spans="1:7" ht="15" customHeight="1" x14ac:dyDescent="0.25">
      <c r="A14" s="18" t="s">
        <v>43</v>
      </c>
      <c r="B14" s="19"/>
      <c r="C14" s="19"/>
      <c r="D14" s="19"/>
      <c r="E14" s="19"/>
      <c r="F14" s="9"/>
      <c r="G14" s="9"/>
    </row>
    <row r="15" spans="1:7" ht="15" customHeight="1" x14ac:dyDescent="0.25">
      <c r="A15" s="18" t="s">
        <v>44</v>
      </c>
      <c r="B15" s="19"/>
      <c r="C15" s="19" t="s">
        <v>49</v>
      </c>
      <c r="D15" s="19"/>
      <c r="E15" s="19"/>
      <c r="F15" s="9"/>
      <c r="G15" s="9"/>
    </row>
    <row r="16" spans="1:7" ht="15" customHeight="1" x14ac:dyDescent="0.25">
      <c r="A16" s="18" t="s">
        <v>45</v>
      </c>
      <c r="B16" s="19"/>
      <c r="C16" s="19"/>
      <c r="D16" s="19"/>
      <c r="E16" s="19"/>
      <c r="F16" s="19"/>
      <c r="G16" s="19"/>
    </row>
    <row r="17" spans="1:7" ht="15" customHeight="1" x14ac:dyDescent="0.25">
      <c r="A17" s="18" t="s">
        <v>52</v>
      </c>
      <c r="B17" s="9"/>
      <c r="C17" s="9"/>
      <c r="D17" s="19"/>
      <c r="E17" s="19"/>
      <c r="F17" s="19"/>
      <c r="G17" s="19"/>
    </row>
    <row r="18" spans="1:7" ht="15" customHeight="1" x14ac:dyDescent="0.25">
      <c r="A18" s="58"/>
      <c r="B18" s="4"/>
      <c r="C18" s="4"/>
      <c r="D18" s="4"/>
      <c r="E18" s="4"/>
      <c r="F18" s="4"/>
      <c r="G18" s="4"/>
    </row>
    <row r="19" spans="1:7" ht="15" customHeight="1" x14ac:dyDescent="0.25">
      <c r="A19" s="17" t="s">
        <v>53</v>
      </c>
      <c r="B19" s="20">
        <v>1.054</v>
      </c>
      <c r="C19" s="9">
        <v>1.0549999999999999</v>
      </c>
      <c r="D19" s="24">
        <v>1.0529999999999999</v>
      </c>
      <c r="E19" s="9">
        <v>1.05</v>
      </c>
      <c r="F19" s="9">
        <v>1.052</v>
      </c>
      <c r="G19" s="20">
        <v>1.0489999999999999</v>
      </c>
    </row>
    <row r="20" spans="1:7" ht="15" customHeight="1" x14ac:dyDescent="0.25">
      <c r="A20" s="17" t="s">
        <v>55</v>
      </c>
      <c r="B20" s="20">
        <v>1.01</v>
      </c>
      <c r="C20" s="9">
        <v>1.012</v>
      </c>
      <c r="D20" s="24">
        <v>1.014</v>
      </c>
      <c r="E20" s="9">
        <v>1.014</v>
      </c>
      <c r="F20" s="9">
        <v>1.012</v>
      </c>
      <c r="G20" s="20">
        <v>1.01</v>
      </c>
    </row>
    <row r="21" spans="1:7" ht="15" customHeight="1" x14ac:dyDescent="0.25">
      <c r="A21" s="17" t="s">
        <v>57</v>
      </c>
      <c r="B21" s="25" t="s">
        <v>146</v>
      </c>
      <c r="C21" s="25">
        <v>150</v>
      </c>
      <c r="D21" s="25" t="s">
        <v>406</v>
      </c>
      <c r="E21" s="25" t="s">
        <v>146</v>
      </c>
      <c r="F21" s="25" t="s">
        <v>146</v>
      </c>
      <c r="G21" s="25" t="s">
        <v>407</v>
      </c>
    </row>
    <row r="22" spans="1:7" ht="15" customHeight="1" x14ac:dyDescent="0.25">
      <c r="A22" s="17" t="s">
        <v>58</v>
      </c>
      <c r="B22" s="25">
        <v>3068</v>
      </c>
      <c r="C22" s="24">
        <v>380</v>
      </c>
      <c r="D22" s="24">
        <v>380</v>
      </c>
      <c r="E22" s="9">
        <v>3068</v>
      </c>
      <c r="F22" s="24">
        <v>3068</v>
      </c>
      <c r="G22" s="25">
        <v>380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3.5703125" customWidth="1"/>
    <col min="2" max="2" width="16.28515625" customWidth="1"/>
    <col min="3" max="3" width="12.7109375" customWidth="1"/>
    <col min="4" max="4" width="11.7109375" customWidth="1"/>
    <col min="5" max="6" width="7.5703125" customWidth="1"/>
  </cols>
  <sheetData>
    <row r="1" spans="1:4" ht="23.25" customHeight="1" x14ac:dyDescent="0.35">
      <c r="A1" s="3" t="s">
        <v>69</v>
      </c>
      <c r="B1" s="4"/>
      <c r="C1" s="4"/>
      <c r="D1" s="4"/>
    </row>
    <row r="2" spans="1:4" ht="15" customHeight="1" x14ac:dyDescent="0.25">
      <c r="A2" s="4"/>
      <c r="B2" s="4"/>
      <c r="C2" s="4"/>
      <c r="D2" s="4"/>
    </row>
    <row r="3" spans="1:4" ht="23.25" customHeight="1" x14ac:dyDescent="0.35">
      <c r="A3" s="4"/>
      <c r="B3" s="7">
        <v>2007</v>
      </c>
      <c r="C3" s="28">
        <v>2011</v>
      </c>
      <c r="D3" s="7">
        <v>2012</v>
      </c>
    </row>
    <row r="4" spans="1:4" ht="15" customHeight="1" x14ac:dyDescent="0.25">
      <c r="A4" s="8" t="s">
        <v>70</v>
      </c>
      <c r="B4" s="10">
        <v>1</v>
      </c>
      <c r="C4" s="30"/>
      <c r="D4" s="10"/>
    </row>
    <row r="5" spans="1:4" ht="15" customHeight="1" x14ac:dyDescent="0.25">
      <c r="A5" s="8" t="s">
        <v>17</v>
      </c>
      <c r="B5" s="10"/>
      <c r="C5" s="30">
        <f>2/20</f>
        <v>0.1</v>
      </c>
      <c r="D5" s="10"/>
    </row>
    <row r="6" spans="1:4" ht="15" customHeight="1" x14ac:dyDescent="0.25">
      <c r="A6" s="8" t="s">
        <v>19</v>
      </c>
      <c r="B6" s="10"/>
      <c r="C6" s="30">
        <f>18/20</f>
        <v>0.9</v>
      </c>
      <c r="D6" s="10">
        <f>14.25/15.01</f>
        <v>0.949367088607595</v>
      </c>
    </row>
    <row r="7" spans="1:4" ht="15" customHeight="1" x14ac:dyDescent="0.25">
      <c r="A7" s="8" t="s">
        <v>72</v>
      </c>
      <c r="B7" s="10"/>
      <c r="C7" s="30"/>
      <c r="D7" s="10">
        <f>0.16/15.01</f>
        <v>1.0659560293137908E-2</v>
      </c>
    </row>
    <row r="8" spans="1:4" ht="15" customHeight="1" x14ac:dyDescent="0.25">
      <c r="A8" s="8" t="s">
        <v>24</v>
      </c>
      <c r="B8" s="10"/>
      <c r="C8" s="30"/>
      <c r="D8" s="10">
        <f>0.44/15.01</f>
        <v>2.9313790806129249E-2</v>
      </c>
    </row>
    <row r="9" spans="1:4" ht="15" customHeight="1" x14ac:dyDescent="0.25">
      <c r="A9" s="8" t="s">
        <v>74</v>
      </c>
      <c r="B9" s="10"/>
      <c r="C9" s="30"/>
      <c r="D9" s="10">
        <f>0.16/15.01</f>
        <v>1.0659560293137908E-2</v>
      </c>
    </row>
    <row r="10" spans="1:4" ht="15" customHeight="1" x14ac:dyDescent="0.25">
      <c r="A10" s="4"/>
      <c r="B10" s="4" t="s">
        <v>27</v>
      </c>
      <c r="C10" s="4"/>
      <c r="D10" s="4"/>
    </row>
    <row r="11" spans="1:4" ht="15" customHeight="1" x14ac:dyDescent="0.25">
      <c r="A11" s="4"/>
      <c r="B11" s="4"/>
      <c r="C11" s="4"/>
      <c r="D11" s="4"/>
    </row>
    <row r="12" spans="1:4" ht="15" customHeight="1" x14ac:dyDescent="0.25">
      <c r="A12" s="17" t="s">
        <v>28</v>
      </c>
      <c r="B12" s="9" t="s">
        <v>49</v>
      </c>
      <c r="C12" s="31"/>
      <c r="D12" s="9" t="s">
        <v>36</v>
      </c>
    </row>
    <row r="13" spans="1:4" ht="15" customHeight="1" x14ac:dyDescent="0.25">
      <c r="A13" s="18" t="s">
        <v>31</v>
      </c>
      <c r="B13" s="19"/>
      <c r="C13" s="31" t="s">
        <v>75</v>
      </c>
      <c r="D13" s="9"/>
    </row>
    <row r="14" spans="1:4" ht="15" customHeight="1" x14ac:dyDescent="0.25">
      <c r="A14" s="18" t="s">
        <v>39</v>
      </c>
      <c r="B14" s="9"/>
      <c r="C14" s="32"/>
      <c r="D14" s="19"/>
    </row>
    <row r="15" spans="1:4" ht="15" customHeight="1" x14ac:dyDescent="0.25">
      <c r="A15" s="18" t="s">
        <v>40</v>
      </c>
      <c r="B15" s="9"/>
      <c r="C15" s="32"/>
      <c r="D15" s="19"/>
    </row>
    <row r="16" spans="1:4" ht="15" customHeight="1" x14ac:dyDescent="0.25">
      <c r="A16" s="18" t="s">
        <v>41</v>
      </c>
      <c r="B16" s="9"/>
      <c r="C16" s="32"/>
      <c r="D16" s="19"/>
    </row>
    <row r="17" spans="1:4" ht="15" customHeight="1" x14ac:dyDescent="0.25">
      <c r="A17" s="18" t="s">
        <v>43</v>
      </c>
      <c r="B17" s="9"/>
      <c r="C17" s="32"/>
      <c r="D17" s="19"/>
    </row>
    <row r="18" spans="1:4" ht="15" customHeight="1" x14ac:dyDescent="0.25">
      <c r="A18" s="18" t="s">
        <v>44</v>
      </c>
      <c r="B18" s="9"/>
      <c r="C18" s="32"/>
      <c r="D18" s="19"/>
    </row>
    <row r="19" spans="1:4" ht="15" customHeight="1" x14ac:dyDescent="0.25">
      <c r="A19" s="18" t="s">
        <v>45</v>
      </c>
      <c r="B19" s="9"/>
      <c r="C19" s="31" t="s">
        <v>75</v>
      </c>
      <c r="D19" s="19"/>
    </row>
    <row r="20" spans="1:4" ht="15" customHeight="1" x14ac:dyDescent="0.25">
      <c r="A20" s="18" t="s">
        <v>52</v>
      </c>
      <c r="B20" s="9"/>
      <c r="C20" s="32"/>
      <c r="D20" s="19"/>
    </row>
    <row r="21" spans="1:4" ht="15" customHeight="1" x14ac:dyDescent="0.25">
      <c r="A21" s="4"/>
      <c r="B21" s="4"/>
      <c r="C21" s="4"/>
      <c r="D21" s="4"/>
    </row>
    <row r="22" spans="1:4" ht="15" customHeight="1" x14ac:dyDescent="0.25">
      <c r="A22" s="17" t="s">
        <v>53</v>
      </c>
      <c r="B22" s="9">
        <v>1.05</v>
      </c>
      <c r="C22" s="31">
        <v>1.048</v>
      </c>
      <c r="D22" s="9">
        <v>1.0509999999999999</v>
      </c>
    </row>
    <row r="23" spans="1:4" ht="15" customHeight="1" x14ac:dyDescent="0.25">
      <c r="A23" s="17" t="s">
        <v>55</v>
      </c>
      <c r="B23" s="9">
        <v>1.012</v>
      </c>
      <c r="C23" s="31">
        <v>1.012</v>
      </c>
      <c r="D23" s="9">
        <v>1.01</v>
      </c>
    </row>
    <row r="24" spans="1:4" ht="15" customHeight="1" x14ac:dyDescent="0.25">
      <c r="A24" s="17" t="s">
        <v>57</v>
      </c>
      <c r="B24" s="45">
        <v>95110144158</v>
      </c>
      <c r="C24" s="34" t="s">
        <v>78</v>
      </c>
      <c r="D24" s="25">
        <v>154</v>
      </c>
    </row>
    <row r="25" spans="1:4" ht="15" customHeight="1" x14ac:dyDescent="0.25">
      <c r="A25" s="17" t="s">
        <v>58</v>
      </c>
      <c r="B25" s="9">
        <v>2308</v>
      </c>
      <c r="C25" s="34">
        <v>2206</v>
      </c>
      <c r="D25" s="24">
        <v>2308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3.7109375" customWidth="1"/>
    <col min="2" max="2" width="15" customWidth="1"/>
    <col min="3" max="4" width="12.5703125" customWidth="1"/>
    <col min="5" max="5" width="12" customWidth="1"/>
    <col min="6" max="6" width="12.5703125" customWidth="1"/>
    <col min="7" max="7" width="12" customWidth="1"/>
    <col min="8" max="8" width="7.5703125" customWidth="1"/>
  </cols>
  <sheetData>
    <row r="1" spans="1:7" ht="23.25" customHeight="1" x14ac:dyDescent="0.35">
      <c r="A1" s="3" t="s">
        <v>414</v>
      </c>
      <c r="B1" s="3"/>
      <c r="C1" s="3"/>
      <c r="D1" s="4"/>
      <c r="E1" s="4"/>
      <c r="F1" s="4"/>
    </row>
    <row r="2" spans="1:7" ht="23.25" customHeight="1" x14ac:dyDescent="0.35">
      <c r="A2" s="3"/>
      <c r="B2" s="3"/>
      <c r="C2" s="3"/>
      <c r="D2" s="4"/>
      <c r="E2" s="4"/>
      <c r="F2" s="4"/>
    </row>
    <row r="3" spans="1:7" ht="23.25" customHeight="1" x14ac:dyDescent="0.25">
      <c r="A3" s="4"/>
      <c r="B3" s="52">
        <v>2001</v>
      </c>
      <c r="C3" s="52">
        <v>2003</v>
      </c>
      <c r="D3" s="53">
        <v>2007</v>
      </c>
      <c r="E3" s="53">
        <v>2012</v>
      </c>
      <c r="F3" s="53">
        <v>2014</v>
      </c>
      <c r="G3" s="52">
        <v>2015</v>
      </c>
    </row>
    <row r="4" spans="1:7" ht="15" customHeight="1" x14ac:dyDescent="0.25">
      <c r="A4" s="17" t="s">
        <v>38</v>
      </c>
      <c r="B4" s="54">
        <f>18/25.5</f>
        <v>0.70588235294117652</v>
      </c>
      <c r="C4" s="54">
        <f>6.5/14.25</f>
        <v>0.45614035087719296</v>
      </c>
      <c r="D4" s="54">
        <f>7.25/13.09</f>
        <v>0.55385790679908331</v>
      </c>
      <c r="E4" s="54"/>
      <c r="F4" s="54">
        <f>6.9/13.1</f>
        <v>0.52671755725190839</v>
      </c>
      <c r="G4" s="54"/>
    </row>
    <row r="5" spans="1:7" ht="15" customHeight="1" x14ac:dyDescent="0.25">
      <c r="A5" s="17" t="s">
        <v>112</v>
      </c>
      <c r="B5" s="54">
        <f>6/25.5</f>
        <v>0.23529411764705882</v>
      </c>
      <c r="C5" s="54"/>
      <c r="D5" s="54">
        <f>5.25/13.09</f>
        <v>0.40106951871657753</v>
      </c>
      <c r="E5" s="54"/>
      <c r="F5" s="54">
        <f>4.4/13.1</f>
        <v>0.33587786259541991</v>
      </c>
      <c r="G5" s="54"/>
    </row>
    <row r="6" spans="1:7" ht="15" customHeight="1" x14ac:dyDescent="0.25">
      <c r="A6" s="17" t="s">
        <v>155</v>
      </c>
      <c r="B6" s="54">
        <f>0.25/25.5</f>
        <v>9.8039215686274508E-3</v>
      </c>
      <c r="C6" s="54">
        <f>0.25/14.25</f>
        <v>1.7543859649122806E-2</v>
      </c>
      <c r="D6" s="54">
        <f>0.34/13.09</f>
        <v>2.5974025974025976E-2</v>
      </c>
      <c r="E6" s="54"/>
      <c r="F6" s="54">
        <f>0.4/13.1</f>
        <v>3.053435114503817E-2</v>
      </c>
      <c r="G6" s="54"/>
    </row>
    <row r="7" spans="1:7" ht="15" customHeight="1" x14ac:dyDescent="0.25">
      <c r="A7" s="17" t="s">
        <v>392</v>
      </c>
      <c r="B7" s="54"/>
      <c r="C7" s="54">
        <f>5.5/14.25</f>
        <v>0.38596491228070173</v>
      </c>
      <c r="D7" s="54">
        <f>0.25/13.09</f>
        <v>1.9098548510313215E-2</v>
      </c>
      <c r="E7" s="54"/>
      <c r="F7" s="54"/>
      <c r="G7" s="54"/>
    </row>
    <row r="8" spans="1:7" ht="15" customHeight="1" x14ac:dyDescent="0.25">
      <c r="A8" s="17" t="s">
        <v>24</v>
      </c>
      <c r="B8" s="54"/>
      <c r="C8" s="54">
        <f>2/14.25</f>
        <v>0.14035087719298245</v>
      </c>
      <c r="D8" s="54"/>
      <c r="E8" s="54">
        <f t="shared" ref="E8:E9" si="0">7/14.625</f>
        <v>0.47863247863247865</v>
      </c>
      <c r="F8" s="54">
        <f>0.5/13.1</f>
        <v>3.8167938931297711E-2</v>
      </c>
      <c r="G8" s="56">
        <v>0.111</v>
      </c>
    </row>
    <row r="9" spans="1:7" ht="15" customHeight="1" x14ac:dyDescent="0.25">
      <c r="A9" s="17" t="s">
        <v>424</v>
      </c>
      <c r="B9" s="54">
        <f>0.25/25.5</f>
        <v>9.8039215686274508E-3</v>
      </c>
      <c r="C9" s="54"/>
      <c r="D9" s="54"/>
      <c r="E9" s="54">
        <f t="shared" si="0"/>
        <v>0.47863247863247865</v>
      </c>
      <c r="F9" s="54"/>
      <c r="G9" s="56">
        <v>0.5</v>
      </c>
    </row>
    <row r="10" spans="1:7" ht="15" customHeight="1" x14ac:dyDescent="0.25">
      <c r="A10" s="17" t="s">
        <v>178</v>
      </c>
      <c r="B10" s="54"/>
      <c r="C10" s="54"/>
      <c r="D10" s="54"/>
      <c r="E10" s="54">
        <f>0.5/14.625</f>
        <v>3.4188034188034191E-2</v>
      </c>
      <c r="F10" s="54"/>
      <c r="G10" s="54"/>
    </row>
    <row r="11" spans="1:7" ht="15" customHeight="1" x14ac:dyDescent="0.25">
      <c r="A11" s="17" t="s">
        <v>125</v>
      </c>
      <c r="B11" s="54"/>
      <c r="C11" s="54"/>
      <c r="D11" s="54"/>
      <c r="E11" s="54">
        <f>0.125/14.625</f>
        <v>8.5470085470085479E-3</v>
      </c>
      <c r="F11" s="54"/>
      <c r="G11" s="54"/>
    </row>
    <row r="12" spans="1:7" ht="15" customHeight="1" x14ac:dyDescent="0.25">
      <c r="A12" s="17" t="s">
        <v>435</v>
      </c>
      <c r="B12" s="54"/>
      <c r="C12" s="54"/>
      <c r="D12" s="54"/>
      <c r="E12" s="54"/>
      <c r="F12" s="54">
        <f t="shared" ref="F12:F14" si="1">0.3/13.1</f>
        <v>2.2900763358778626E-2</v>
      </c>
      <c r="G12" s="54"/>
    </row>
    <row r="13" spans="1:7" ht="15" customHeight="1" x14ac:dyDescent="0.25">
      <c r="A13" s="17" t="s">
        <v>440</v>
      </c>
      <c r="B13" s="54"/>
      <c r="C13" s="54"/>
      <c r="D13" s="54"/>
      <c r="E13" s="54"/>
      <c r="F13" s="54">
        <f t="shared" si="1"/>
        <v>2.2900763358778626E-2</v>
      </c>
      <c r="G13" s="54"/>
    </row>
    <row r="14" spans="1:7" ht="15" customHeight="1" x14ac:dyDescent="0.25">
      <c r="A14" s="17" t="s">
        <v>74</v>
      </c>
      <c r="B14" s="54"/>
      <c r="C14" s="54"/>
      <c r="D14" s="54"/>
      <c r="E14" s="54"/>
      <c r="F14" s="54">
        <f t="shared" si="1"/>
        <v>2.2900763358778626E-2</v>
      </c>
      <c r="G14" s="56">
        <v>4.2000000000000003E-2</v>
      </c>
    </row>
    <row r="15" spans="1:7" ht="15" customHeight="1" x14ac:dyDescent="0.25">
      <c r="A15" s="48" t="s">
        <v>134</v>
      </c>
      <c r="B15" s="54">
        <f>1/25.5</f>
        <v>3.9215686274509803E-2</v>
      </c>
      <c r="C15" s="54"/>
      <c r="D15" s="54"/>
      <c r="E15" s="54"/>
      <c r="F15" s="54"/>
      <c r="G15" s="54"/>
    </row>
    <row r="16" spans="1:7" ht="15" customHeight="1" x14ac:dyDescent="0.25">
      <c r="A16" s="48" t="s">
        <v>19</v>
      </c>
      <c r="B16" s="54"/>
      <c r="C16" s="54"/>
      <c r="D16" s="54"/>
      <c r="E16" s="54"/>
      <c r="F16" s="54"/>
      <c r="G16" s="56">
        <v>0.27800000000000002</v>
      </c>
    </row>
    <row r="17" spans="1:7" ht="15" customHeight="1" x14ac:dyDescent="0.25">
      <c r="A17" s="48" t="s">
        <v>250</v>
      </c>
      <c r="B17" s="54"/>
      <c r="C17" s="54"/>
      <c r="D17" s="54"/>
      <c r="E17" s="54"/>
      <c r="F17" s="54"/>
      <c r="G17" s="56">
        <v>2.8000000000000001E-2</v>
      </c>
    </row>
    <row r="18" spans="1:7" ht="15" customHeight="1" x14ac:dyDescent="0.25">
      <c r="A18" s="48" t="s">
        <v>128</v>
      </c>
      <c r="B18" s="54"/>
      <c r="C18" s="54"/>
      <c r="D18" s="54"/>
      <c r="E18" s="54"/>
      <c r="F18" s="54"/>
      <c r="G18" s="56">
        <v>2.8000000000000001E-2</v>
      </c>
    </row>
    <row r="19" spans="1:7" ht="15" customHeight="1" x14ac:dyDescent="0.25">
      <c r="A19" s="48" t="s">
        <v>153</v>
      </c>
      <c r="B19" s="54"/>
      <c r="C19" s="54"/>
      <c r="D19" s="54"/>
      <c r="E19" s="54"/>
      <c r="F19" s="54"/>
      <c r="G19" s="56">
        <v>1.4E-2</v>
      </c>
    </row>
    <row r="20" spans="1:7" ht="15" customHeight="1" x14ac:dyDescent="0.25">
      <c r="A20" s="27" t="s">
        <v>27</v>
      </c>
      <c r="B20" s="58"/>
      <c r="C20" s="58"/>
      <c r="D20" s="58"/>
      <c r="E20" s="58"/>
      <c r="F20" s="58"/>
      <c r="G20" s="58"/>
    </row>
    <row r="21" spans="1:7" ht="15" customHeight="1" x14ac:dyDescent="0.25">
      <c r="A21" s="27"/>
      <c r="B21" s="58"/>
      <c r="C21" s="58"/>
      <c r="D21" s="58"/>
      <c r="E21" s="58"/>
      <c r="F21" s="58"/>
      <c r="G21" s="58"/>
    </row>
    <row r="22" spans="1:7" ht="15" customHeight="1" x14ac:dyDescent="0.25">
      <c r="A22" s="17" t="s">
        <v>28</v>
      </c>
      <c r="B22" s="9"/>
      <c r="C22" s="9"/>
      <c r="D22" s="9"/>
      <c r="E22" s="9" t="s">
        <v>36</v>
      </c>
      <c r="F22" s="9" t="s">
        <v>36</v>
      </c>
      <c r="G22" s="9"/>
    </row>
    <row r="23" spans="1:7" ht="30" customHeight="1" x14ac:dyDescent="0.25">
      <c r="A23" s="38" t="s">
        <v>96</v>
      </c>
      <c r="B23" s="19"/>
      <c r="C23" s="22" t="s">
        <v>89</v>
      </c>
      <c r="D23" s="19"/>
      <c r="E23" s="19"/>
      <c r="F23" s="19"/>
      <c r="G23" s="19"/>
    </row>
    <row r="24" spans="1:7" ht="30.75" customHeight="1" x14ac:dyDescent="0.25">
      <c r="A24" s="18" t="s">
        <v>31</v>
      </c>
      <c r="B24" s="22" t="s">
        <v>185</v>
      </c>
      <c r="C24" s="9"/>
      <c r="D24" s="9" t="s">
        <v>49</v>
      </c>
      <c r="E24" s="19" t="s">
        <v>36</v>
      </c>
      <c r="F24" s="19"/>
      <c r="G24" s="22" t="s">
        <v>75</v>
      </c>
    </row>
    <row r="25" spans="1:7" ht="31.5" customHeight="1" x14ac:dyDescent="0.25">
      <c r="A25" s="18" t="s">
        <v>39</v>
      </c>
      <c r="B25" s="22" t="s">
        <v>185</v>
      </c>
      <c r="C25" s="9"/>
      <c r="D25" s="9"/>
      <c r="E25" s="19"/>
      <c r="F25" s="19"/>
      <c r="G25" s="19"/>
    </row>
    <row r="26" spans="1:7" ht="15" customHeight="1" x14ac:dyDescent="0.25">
      <c r="A26" s="18" t="s">
        <v>40</v>
      </c>
      <c r="B26" s="19"/>
      <c r="C26" s="19"/>
      <c r="D26" s="19"/>
      <c r="E26" s="19"/>
      <c r="F26" s="19"/>
      <c r="G26" s="19"/>
    </row>
    <row r="27" spans="1:7" ht="15" customHeight="1" x14ac:dyDescent="0.25">
      <c r="A27" s="18" t="s">
        <v>41</v>
      </c>
      <c r="B27" s="19"/>
      <c r="C27" s="19"/>
      <c r="D27" s="19"/>
      <c r="E27" s="19"/>
      <c r="F27" s="9" t="s">
        <v>36</v>
      </c>
      <c r="G27" s="9"/>
    </row>
    <row r="28" spans="1:7" ht="15" customHeight="1" x14ac:dyDescent="0.25">
      <c r="A28" s="18" t="s">
        <v>43</v>
      </c>
      <c r="B28" s="19"/>
      <c r="C28" s="19"/>
      <c r="D28" s="19"/>
      <c r="E28" s="19"/>
      <c r="F28" s="19"/>
      <c r="G28" s="19"/>
    </row>
    <row r="29" spans="1:7" ht="15" customHeight="1" x14ac:dyDescent="0.25">
      <c r="A29" s="18" t="s">
        <v>44</v>
      </c>
      <c r="B29" s="19"/>
      <c r="C29" s="19"/>
      <c r="D29" s="19"/>
      <c r="E29" s="19"/>
      <c r="F29" s="19"/>
      <c r="G29" s="19"/>
    </row>
    <row r="30" spans="1:7" ht="15" customHeight="1" x14ac:dyDescent="0.25">
      <c r="A30" s="18" t="s">
        <v>45</v>
      </c>
      <c r="B30" s="19"/>
      <c r="C30" s="19"/>
      <c r="D30" s="19" t="s">
        <v>49</v>
      </c>
      <c r="E30" s="19"/>
      <c r="F30" s="19"/>
      <c r="G30" s="19"/>
    </row>
    <row r="31" spans="1:7" ht="15" customHeight="1" x14ac:dyDescent="0.25">
      <c r="A31" s="18" t="s">
        <v>52</v>
      </c>
      <c r="B31" s="9"/>
      <c r="C31" s="9"/>
      <c r="D31" s="9"/>
      <c r="E31" s="19"/>
      <c r="F31" s="19"/>
      <c r="G31" s="19"/>
    </row>
    <row r="32" spans="1:7" ht="15" customHeight="1" x14ac:dyDescent="0.25">
      <c r="A32" s="58"/>
      <c r="B32" s="4"/>
      <c r="C32" s="4"/>
      <c r="D32" s="4"/>
      <c r="E32" s="4"/>
      <c r="F32" s="4"/>
      <c r="G32" s="4"/>
    </row>
    <row r="33" spans="1:7" ht="15" customHeight="1" x14ac:dyDescent="0.25">
      <c r="A33" s="17" t="s">
        <v>53</v>
      </c>
      <c r="B33" s="25" t="s">
        <v>106</v>
      </c>
      <c r="C33" s="25">
        <v>1.0780000000000001</v>
      </c>
      <c r="D33" s="24" t="s">
        <v>106</v>
      </c>
      <c r="E33" s="24">
        <v>1.0780000000000001</v>
      </c>
      <c r="F33" s="24">
        <v>1.0720000000000001</v>
      </c>
      <c r="G33" s="25">
        <v>1.07</v>
      </c>
    </row>
    <row r="34" spans="1:7" ht="15" customHeight="1" x14ac:dyDescent="0.25">
      <c r="A34" s="17" t="s">
        <v>55</v>
      </c>
      <c r="B34" s="25" t="s">
        <v>106</v>
      </c>
      <c r="C34" s="25">
        <v>1.022</v>
      </c>
      <c r="D34" s="24" t="s">
        <v>106</v>
      </c>
      <c r="E34" s="24">
        <v>1.02</v>
      </c>
      <c r="F34" s="24">
        <v>1.018</v>
      </c>
      <c r="G34" s="25">
        <v>1.018</v>
      </c>
    </row>
    <row r="35" spans="1:7" ht="15" customHeight="1" x14ac:dyDescent="0.25">
      <c r="A35" s="17" t="s">
        <v>57</v>
      </c>
      <c r="B35" s="25" t="s">
        <v>146</v>
      </c>
      <c r="C35" s="25">
        <v>150</v>
      </c>
      <c r="D35" s="25">
        <v>154</v>
      </c>
      <c r="E35" s="25" t="s">
        <v>146</v>
      </c>
      <c r="F35" s="25" t="s">
        <v>443</v>
      </c>
      <c r="G35" s="25">
        <v>156</v>
      </c>
    </row>
    <row r="36" spans="1:7" ht="15" customHeight="1" x14ac:dyDescent="0.25">
      <c r="A36" s="17" t="s">
        <v>58</v>
      </c>
      <c r="B36" s="25">
        <v>3068</v>
      </c>
      <c r="C36" s="25">
        <v>3068</v>
      </c>
      <c r="D36" s="25">
        <v>300</v>
      </c>
      <c r="E36" s="25">
        <v>3333</v>
      </c>
      <c r="F36" s="25">
        <v>380</v>
      </c>
      <c r="G36" s="25">
        <v>380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6" customWidth="1"/>
    <col min="2" max="2" width="11.7109375" customWidth="1"/>
    <col min="3" max="3" width="13.28515625" customWidth="1"/>
    <col min="4" max="4" width="12.85546875" customWidth="1"/>
    <col min="5" max="6" width="7.5703125" customWidth="1"/>
  </cols>
  <sheetData>
    <row r="1" spans="1:4" ht="23.25" customHeight="1" x14ac:dyDescent="0.35">
      <c r="A1" s="3" t="s">
        <v>416</v>
      </c>
      <c r="C1" s="4"/>
      <c r="D1" s="4"/>
    </row>
    <row r="2" spans="1:4" ht="23.25" customHeight="1" x14ac:dyDescent="0.35">
      <c r="A2" s="3"/>
      <c r="C2" s="4"/>
      <c r="D2" s="4"/>
    </row>
    <row r="3" spans="1:4" ht="23.25" customHeight="1" x14ac:dyDescent="0.25">
      <c r="A3" s="4"/>
      <c r="B3" s="53">
        <v>2006</v>
      </c>
      <c r="C3" s="53">
        <v>2010</v>
      </c>
      <c r="D3" s="53">
        <v>2011</v>
      </c>
    </row>
    <row r="4" spans="1:4" ht="15" customHeight="1" x14ac:dyDescent="0.25">
      <c r="A4" s="17" t="s">
        <v>204</v>
      </c>
      <c r="B4" s="54">
        <f>5.5/11.94</f>
        <v>0.46063651591289784</v>
      </c>
      <c r="C4" s="54">
        <f>6/13</f>
        <v>0.46153846153846156</v>
      </c>
      <c r="D4" s="54">
        <f>9.62/21.18</f>
        <v>0.45420207743153918</v>
      </c>
    </row>
    <row r="5" spans="1:4" ht="15" customHeight="1" x14ac:dyDescent="0.25">
      <c r="A5" s="17" t="s">
        <v>24</v>
      </c>
      <c r="B5" s="54">
        <f t="shared" ref="B5:B6" si="0">2/11.94</f>
        <v>0.16750418760469013</v>
      </c>
      <c r="C5" s="54"/>
      <c r="D5" s="54">
        <f>3.2/21.18</f>
        <v>0.15108593012275734</v>
      </c>
    </row>
    <row r="6" spans="1:4" ht="15" customHeight="1" x14ac:dyDescent="0.25">
      <c r="A6" s="17" t="s">
        <v>82</v>
      </c>
      <c r="B6" s="54">
        <f t="shared" si="0"/>
        <v>0.16750418760469013</v>
      </c>
      <c r="C6" s="54"/>
      <c r="D6" s="54"/>
    </row>
    <row r="7" spans="1:4" ht="15" customHeight="1" x14ac:dyDescent="0.25">
      <c r="A7" s="17" t="s">
        <v>112</v>
      </c>
      <c r="B7" s="54">
        <f>1.5/11.94</f>
        <v>0.1256281407035176</v>
      </c>
      <c r="C7" s="54">
        <f>2/13</f>
        <v>0.15384615384615385</v>
      </c>
      <c r="D7" s="54">
        <f>3.5/21.18</f>
        <v>0.16525023607176581</v>
      </c>
    </row>
    <row r="8" spans="1:4" ht="15" customHeight="1" x14ac:dyDescent="0.25">
      <c r="A8" s="17" t="s">
        <v>291</v>
      </c>
      <c r="B8" s="54">
        <f>0.38/11.94</f>
        <v>3.1825795644891124E-2</v>
      </c>
      <c r="C8" s="54"/>
      <c r="D8" s="54"/>
    </row>
    <row r="9" spans="1:4" ht="15" customHeight="1" x14ac:dyDescent="0.25">
      <c r="A9" s="17" t="s">
        <v>74</v>
      </c>
      <c r="B9" s="54">
        <f>0.5/11.94</f>
        <v>4.1876046901172533E-2</v>
      </c>
      <c r="C9" s="54"/>
      <c r="D9" s="54"/>
    </row>
    <row r="10" spans="1:4" ht="15" customHeight="1" x14ac:dyDescent="0.25">
      <c r="A10" s="17" t="s">
        <v>125</v>
      </c>
      <c r="B10" s="54">
        <f>0.06/11.94</f>
        <v>5.0251256281407036E-3</v>
      </c>
      <c r="C10" s="54"/>
      <c r="D10" s="54"/>
    </row>
    <row r="11" spans="1:4" ht="15" customHeight="1" x14ac:dyDescent="0.25">
      <c r="A11" s="17" t="s">
        <v>19</v>
      </c>
      <c r="B11" s="54"/>
      <c r="C11" s="54">
        <f>2/13</f>
        <v>0.15384615384615385</v>
      </c>
      <c r="D11" s="54"/>
    </row>
    <row r="12" spans="1:4" ht="15" customHeight="1" x14ac:dyDescent="0.25">
      <c r="A12" s="17" t="s">
        <v>316</v>
      </c>
      <c r="B12" s="54"/>
      <c r="C12" s="54">
        <f t="shared" ref="C12:C14" si="1">1/13</f>
        <v>7.6923076923076927E-2</v>
      </c>
      <c r="D12" s="54">
        <f t="shared" ref="D12:D14" si="2">1.62/21.18</f>
        <v>7.6487252124645896E-2</v>
      </c>
    </row>
    <row r="13" spans="1:4" ht="15" customHeight="1" x14ac:dyDescent="0.25">
      <c r="A13" s="17" t="s">
        <v>20</v>
      </c>
      <c r="B13" s="54"/>
      <c r="C13" s="54">
        <f t="shared" si="1"/>
        <v>7.6923076923076927E-2</v>
      </c>
      <c r="D13" s="54">
        <f t="shared" si="2"/>
        <v>7.6487252124645896E-2</v>
      </c>
    </row>
    <row r="14" spans="1:4" ht="15" customHeight="1" x14ac:dyDescent="0.25">
      <c r="A14" s="17" t="s">
        <v>38</v>
      </c>
      <c r="B14" s="54"/>
      <c r="C14" s="54">
        <f t="shared" si="1"/>
        <v>7.6923076923076927E-2</v>
      </c>
      <c r="D14" s="54">
        <f t="shared" si="2"/>
        <v>7.6487252124645896E-2</v>
      </c>
    </row>
    <row r="15" spans="1:4" ht="15" customHeight="1" x14ac:dyDescent="0.25">
      <c r="A15" s="27"/>
      <c r="B15" s="58"/>
      <c r="C15" s="58"/>
      <c r="D15" s="58"/>
    </row>
    <row r="16" spans="1:4" ht="15" customHeight="1" x14ac:dyDescent="0.25">
      <c r="A16" s="27"/>
      <c r="B16" s="58"/>
      <c r="C16" s="58"/>
      <c r="D16" s="58"/>
    </row>
    <row r="17" spans="1:4" ht="15" customHeight="1" x14ac:dyDescent="0.25">
      <c r="A17" s="17" t="s">
        <v>28</v>
      </c>
      <c r="B17" s="9"/>
      <c r="C17" s="9"/>
      <c r="D17" s="9"/>
    </row>
    <row r="18" spans="1:4" ht="15" customHeight="1" x14ac:dyDescent="0.25">
      <c r="A18" s="18" t="s">
        <v>31</v>
      </c>
      <c r="B18" s="9"/>
      <c r="C18" s="19" t="s">
        <v>36</v>
      </c>
      <c r="D18" s="19" t="s">
        <v>36</v>
      </c>
    </row>
    <row r="19" spans="1:4" ht="45" customHeight="1" x14ac:dyDescent="0.25">
      <c r="A19" s="18" t="s">
        <v>39</v>
      </c>
      <c r="B19" s="19" t="s">
        <v>441</v>
      </c>
      <c r="C19" s="19"/>
      <c r="D19" s="19"/>
    </row>
    <row r="20" spans="1:4" ht="15" customHeight="1" x14ac:dyDescent="0.25">
      <c r="A20" s="18" t="s">
        <v>40</v>
      </c>
      <c r="B20" s="19"/>
      <c r="C20" s="19"/>
      <c r="D20" s="19"/>
    </row>
    <row r="21" spans="1:4" ht="15" customHeight="1" x14ac:dyDescent="0.25">
      <c r="A21" s="18" t="s">
        <v>41</v>
      </c>
      <c r="B21" s="19" t="s">
        <v>95</v>
      </c>
      <c r="C21" s="19"/>
      <c r="D21" s="19"/>
    </row>
    <row r="22" spans="1:4" ht="15" customHeight="1" x14ac:dyDescent="0.25">
      <c r="A22" s="18" t="s">
        <v>43</v>
      </c>
      <c r="B22" s="19"/>
      <c r="C22" s="19" t="s">
        <v>36</v>
      </c>
      <c r="D22" s="19" t="s">
        <v>36</v>
      </c>
    </row>
    <row r="23" spans="1:4" ht="15" customHeight="1" x14ac:dyDescent="0.25">
      <c r="A23" s="18" t="s">
        <v>44</v>
      </c>
      <c r="B23" s="19"/>
      <c r="C23" s="19"/>
      <c r="D23" s="19"/>
    </row>
    <row r="24" spans="1:4" ht="15" customHeight="1" x14ac:dyDescent="0.25">
      <c r="A24" s="18" t="s">
        <v>45</v>
      </c>
      <c r="B24" s="19"/>
      <c r="C24" s="19" t="s">
        <v>36</v>
      </c>
      <c r="D24" s="19" t="s">
        <v>36</v>
      </c>
    </row>
    <row r="25" spans="1:4" ht="15" customHeight="1" x14ac:dyDescent="0.25">
      <c r="A25" s="18" t="s">
        <v>52</v>
      </c>
      <c r="B25" s="9"/>
      <c r="C25" s="19"/>
      <c r="D25" s="19"/>
    </row>
    <row r="26" spans="1:4" ht="15" customHeight="1" x14ac:dyDescent="0.25">
      <c r="A26" s="58"/>
      <c r="C26" s="4"/>
      <c r="D26" s="4"/>
    </row>
    <row r="27" spans="1:4" ht="15" customHeight="1" x14ac:dyDescent="0.25">
      <c r="A27" s="48" t="s">
        <v>53</v>
      </c>
      <c r="B27" s="9">
        <v>1.0609999999999999</v>
      </c>
      <c r="C27" s="24">
        <v>1.06</v>
      </c>
      <c r="D27" s="9">
        <v>1.056</v>
      </c>
    </row>
    <row r="28" spans="1:4" ht="15" customHeight="1" x14ac:dyDescent="0.25">
      <c r="A28" s="48" t="s">
        <v>55</v>
      </c>
      <c r="B28" s="25">
        <v>1.0129999999999999</v>
      </c>
      <c r="C28" s="25">
        <v>1.0129999999999999</v>
      </c>
      <c r="D28" s="25">
        <v>1.0149999999999999</v>
      </c>
    </row>
    <row r="29" spans="1:4" ht="15" customHeight="1" x14ac:dyDescent="0.25">
      <c r="A29" s="48" t="s">
        <v>57</v>
      </c>
      <c r="B29" s="25">
        <v>158</v>
      </c>
      <c r="C29" s="25" t="s">
        <v>444</v>
      </c>
      <c r="D29" s="25" t="s">
        <v>444</v>
      </c>
    </row>
    <row r="30" spans="1:4" ht="15" customHeight="1" x14ac:dyDescent="0.25">
      <c r="A30" s="48" t="s">
        <v>58</v>
      </c>
      <c r="B30" s="24">
        <v>300</v>
      </c>
      <c r="C30" s="24">
        <v>380</v>
      </c>
      <c r="D30" s="9">
        <v>380</v>
      </c>
    </row>
    <row r="31" spans="1:4" ht="15.75" customHeight="1" x14ac:dyDescent="0.25">
      <c r="A31" s="58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4.28515625" customWidth="1"/>
    <col min="2" max="2" width="12.42578125" customWidth="1"/>
    <col min="3" max="3" width="10.85546875" customWidth="1"/>
    <col min="4" max="4" width="12" customWidth="1"/>
    <col min="5" max="5" width="11.7109375" customWidth="1"/>
    <col min="6" max="7" width="7.5703125" customWidth="1"/>
  </cols>
  <sheetData>
    <row r="1" spans="1:5" ht="23.25" customHeight="1" x14ac:dyDescent="0.35">
      <c r="A1" s="3" t="s">
        <v>442</v>
      </c>
      <c r="B1" s="3"/>
      <c r="C1" s="4"/>
      <c r="D1" s="4"/>
      <c r="E1" s="4"/>
    </row>
    <row r="2" spans="1:5" ht="23.25" customHeight="1" x14ac:dyDescent="0.35">
      <c r="A2" s="3"/>
      <c r="B2" s="3"/>
      <c r="C2" s="4"/>
      <c r="D2" s="4"/>
      <c r="E2" s="4"/>
    </row>
    <row r="3" spans="1:5" ht="23.25" customHeight="1" x14ac:dyDescent="0.25">
      <c r="A3" s="4"/>
      <c r="B3" s="52">
        <v>2000</v>
      </c>
      <c r="C3" s="53">
        <v>2005</v>
      </c>
      <c r="D3" s="53">
        <v>2006</v>
      </c>
      <c r="E3" s="53">
        <v>2011</v>
      </c>
    </row>
    <row r="4" spans="1:5" ht="15" customHeight="1" x14ac:dyDescent="0.25">
      <c r="A4" s="17" t="s">
        <v>19</v>
      </c>
      <c r="B4" s="54"/>
      <c r="C4" s="54">
        <f>4.5/10</f>
        <v>0.45</v>
      </c>
      <c r="D4" s="54">
        <v>0.5</v>
      </c>
      <c r="E4" s="54">
        <f>5/11</f>
        <v>0.45454545454545453</v>
      </c>
    </row>
    <row r="5" spans="1:5" ht="15" customHeight="1" x14ac:dyDescent="0.25">
      <c r="A5" s="17" t="s">
        <v>384</v>
      </c>
      <c r="B5" s="54">
        <f t="shared" ref="B5:B6" si="0">1/11</f>
        <v>9.0909090909090912E-2</v>
      </c>
      <c r="C5" s="54">
        <v>0.45</v>
      </c>
      <c r="D5" s="54"/>
      <c r="E5" s="54"/>
    </row>
    <row r="6" spans="1:5" ht="15" customHeight="1" x14ac:dyDescent="0.25">
      <c r="A6" s="17" t="s">
        <v>175</v>
      </c>
      <c r="B6" s="54">
        <f t="shared" si="0"/>
        <v>9.0909090909090912E-2</v>
      </c>
      <c r="C6" s="54">
        <v>0.05</v>
      </c>
      <c r="D6" s="54"/>
      <c r="E6" s="54"/>
    </row>
    <row r="7" spans="1:5" ht="15" customHeight="1" x14ac:dyDescent="0.25">
      <c r="A7" s="17" t="s">
        <v>92</v>
      </c>
      <c r="B7" s="54"/>
      <c r="C7" s="54">
        <v>0.05</v>
      </c>
      <c r="D7" s="54"/>
      <c r="E7" s="54"/>
    </row>
    <row r="8" spans="1:5" ht="15" customHeight="1" x14ac:dyDescent="0.25">
      <c r="A8" s="17" t="s">
        <v>38</v>
      </c>
      <c r="B8" s="54">
        <f>4/11</f>
        <v>0.36363636363636365</v>
      </c>
      <c r="C8" s="54"/>
      <c r="D8" s="54">
        <v>0.5</v>
      </c>
      <c r="E8" s="54">
        <f>5/11</f>
        <v>0.45454545454545453</v>
      </c>
    </row>
    <row r="9" spans="1:5" ht="15" customHeight="1" x14ac:dyDescent="0.25">
      <c r="A9" s="17" t="s">
        <v>167</v>
      </c>
      <c r="B9" s="54"/>
      <c r="C9" s="54"/>
      <c r="D9" s="54"/>
      <c r="E9" s="54">
        <f>1/11</f>
        <v>9.0909090909090912E-2</v>
      </c>
    </row>
    <row r="10" spans="1:5" ht="15" customHeight="1" x14ac:dyDescent="0.25">
      <c r="A10" s="48" t="s">
        <v>14</v>
      </c>
      <c r="B10" s="54">
        <f>4/11</f>
        <v>0.36363636363636365</v>
      </c>
      <c r="C10" s="54"/>
      <c r="D10" s="54"/>
      <c r="E10" s="54"/>
    </row>
    <row r="11" spans="1:5" ht="15" customHeight="1" x14ac:dyDescent="0.25">
      <c r="A11" s="48" t="s">
        <v>369</v>
      </c>
      <c r="B11" s="54">
        <f>1/11</f>
        <v>9.0909090909090912E-2</v>
      </c>
      <c r="C11" s="54"/>
      <c r="D11" s="54"/>
      <c r="E11" s="54"/>
    </row>
    <row r="12" spans="1:5" ht="15" customHeight="1" x14ac:dyDescent="0.25">
      <c r="A12" s="27"/>
      <c r="B12" s="58"/>
      <c r="C12" s="58"/>
      <c r="D12" s="58"/>
      <c r="E12" s="58"/>
    </row>
    <row r="13" spans="1:5" ht="15" customHeight="1" x14ac:dyDescent="0.25">
      <c r="A13" s="27"/>
      <c r="B13" s="58"/>
      <c r="C13" s="58"/>
      <c r="D13" s="58"/>
      <c r="E13" s="58"/>
    </row>
    <row r="14" spans="1:5" ht="15" customHeight="1" x14ac:dyDescent="0.25">
      <c r="A14" s="17" t="s">
        <v>28</v>
      </c>
      <c r="B14" s="9"/>
      <c r="C14" s="9"/>
      <c r="D14" s="9"/>
      <c r="E14" s="9"/>
    </row>
    <row r="15" spans="1:5" ht="15" customHeight="1" x14ac:dyDescent="0.25">
      <c r="A15" s="17" t="s">
        <v>96</v>
      </c>
      <c r="B15" s="9"/>
      <c r="C15" s="9" t="s">
        <v>36</v>
      </c>
      <c r="D15" s="9"/>
      <c r="E15" s="9"/>
    </row>
    <row r="16" spans="1:5" ht="15" customHeight="1" x14ac:dyDescent="0.25">
      <c r="A16" s="18" t="s">
        <v>31</v>
      </c>
      <c r="B16" s="20" t="s">
        <v>42</v>
      </c>
      <c r="C16" s="9"/>
      <c r="D16" s="19" t="s">
        <v>36</v>
      </c>
      <c r="E16" s="19" t="s">
        <v>447</v>
      </c>
    </row>
    <row r="17" spans="1:5" ht="15" customHeight="1" x14ac:dyDescent="0.25">
      <c r="A17" s="18" t="s">
        <v>39</v>
      </c>
      <c r="B17" s="19"/>
      <c r="C17" s="19"/>
      <c r="D17" s="19"/>
      <c r="E17" s="19"/>
    </row>
    <row r="18" spans="1:5" ht="15" customHeight="1" x14ac:dyDescent="0.25">
      <c r="A18" s="18" t="s">
        <v>40</v>
      </c>
      <c r="B18" s="19"/>
      <c r="C18" s="19"/>
      <c r="D18" s="19"/>
      <c r="E18" s="19"/>
    </row>
    <row r="19" spans="1:5" ht="15" customHeight="1" x14ac:dyDescent="0.25">
      <c r="A19" s="18" t="s">
        <v>41</v>
      </c>
      <c r="B19" s="19"/>
      <c r="C19" s="19" t="s">
        <v>42</v>
      </c>
      <c r="D19" s="19"/>
      <c r="E19" s="19" t="s">
        <v>447</v>
      </c>
    </row>
    <row r="20" spans="1:5" ht="15" customHeight="1" x14ac:dyDescent="0.25">
      <c r="A20" s="18" t="s">
        <v>43</v>
      </c>
      <c r="B20" s="19"/>
      <c r="C20" s="19"/>
      <c r="D20" s="19"/>
      <c r="E20" s="19"/>
    </row>
    <row r="21" spans="1:5" ht="15" customHeight="1" x14ac:dyDescent="0.25">
      <c r="A21" s="18" t="s">
        <v>44</v>
      </c>
      <c r="B21" s="22" t="s">
        <v>42</v>
      </c>
      <c r="C21" s="19"/>
      <c r="D21" s="19" t="s">
        <v>42</v>
      </c>
      <c r="E21" s="19" t="s">
        <v>447</v>
      </c>
    </row>
    <row r="22" spans="1:5" ht="15" customHeight="1" x14ac:dyDescent="0.25">
      <c r="A22" s="18" t="s">
        <v>45</v>
      </c>
      <c r="B22" s="19"/>
      <c r="C22" s="19"/>
      <c r="D22" s="19"/>
      <c r="E22" s="19"/>
    </row>
    <row r="23" spans="1:5" ht="15" customHeight="1" x14ac:dyDescent="0.25">
      <c r="A23" s="18" t="s">
        <v>52</v>
      </c>
      <c r="B23" s="9"/>
      <c r="C23" s="9"/>
      <c r="D23" s="19"/>
      <c r="E23" s="19"/>
    </row>
    <row r="24" spans="1:5" ht="15" customHeight="1" x14ac:dyDescent="0.25">
      <c r="A24" s="58"/>
      <c r="B24" s="4"/>
      <c r="C24" s="4"/>
      <c r="D24" s="4"/>
      <c r="E24" s="4"/>
    </row>
    <row r="25" spans="1:5" ht="15" customHeight="1" x14ac:dyDescent="0.25">
      <c r="A25" s="17" t="s">
        <v>53</v>
      </c>
      <c r="B25" s="20">
        <v>1.0489999999999999</v>
      </c>
      <c r="C25" s="9">
        <v>1.052</v>
      </c>
      <c r="D25" s="24" t="s">
        <v>106</v>
      </c>
      <c r="E25" s="9">
        <v>1.0580000000000001</v>
      </c>
    </row>
    <row r="26" spans="1:5" ht="15" customHeight="1" x14ac:dyDescent="0.25">
      <c r="A26" s="17" t="s">
        <v>55</v>
      </c>
      <c r="B26" s="20" t="s">
        <v>106</v>
      </c>
      <c r="C26" s="9">
        <v>1.008</v>
      </c>
      <c r="D26" s="24" t="s">
        <v>106</v>
      </c>
      <c r="E26" s="9">
        <v>1.01</v>
      </c>
    </row>
    <row r="27" spans="1:5" ht="15" customHeight="1" x14ac:dyDescent="0.25">
      <c r="A27" s="17" t="s">
        <v>57</v>
      </c>
      <c r="B27" s="25" t="s">
        <v>106</v>
      </c>
      <c r="C27" s="24" t="s">
        <v>106</v>
      </c>
      <c r="D27" s="24" t="s">
        <v>106</v>
      </c>
      <c r="E27" s="24" t="s">
        <v>448</v>
      </c>
    </row>
    <row r="28" spans="1:5" ht="15" customHeight="1" x14ac:dyDescent="0.25">
      <c r="A28" s="17" t="s">
        <v>58</v>
      </c>
      <c r="B28" s="25">
        <v>400</v>
      </c>
      <c r="C28" s="24">
        <v>3944</v>
      </c>
      <c r="D28" s="24">
        <v>400</v>
      </c>
      <c r="E28" s="25" t="s">
        <v>449</v>
      </c>
    </row>
    <row r="29" spans="1:5" ht="15" customHeight="1" x14ac:dyDescent="0.25">
      <c r="A29" s="4"/>
      <c r="B29" s="4"/>
      <c r="C29" s="4"/>
      <c r="D29" s="4"/>
      <c r="E29" s="4"/>
    </row>
    <row r="30" spans="1:5" ht="90" customHeight="1" x14ac:dyDescent="0.25">
      <c r="A30" s="4"/>
      <c r="B30" s="40" t="s">
        <v>450</v>
      </c>
      <c r="C30" s="23" t="s">
        <v>451</v>
      </c>
      <c r="D30" s="23" t="s">
        <v>452</v>
      </c>
      <c r="E30" s="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4.5703125" customWidth="1"/>
    <col min="2" max="2" width="10.28515625" customWidth="1"/>
    <col min="3" max="3" width="9.85546875" customWidth="1"/>
    <col min="4" max="4" width="11.85546875" customWidth="1"/>
    <col min="5" max="5" width="13.7109375" customWidth="1"/>
    <col min="6" max="6" width="7.5703125" customWidth="1"/>
  </cols>
  <sheetData>
    <row r="1" spans="1:5" ht="23.25" customHeight="1" x14ac:dyDescent="0.35">
      <c r="A1" s="3" t="s">
        <v>445</v>
      </c>
      <c r="C1" s="4"/>
      <c r="D1" s="4"/>
    </row>
    <row r="2" spans="1:5" ht="23.25" customHeight="1" x14ac:dyDescent="0.35">
      <c r="A2" s="3"/>
      <c r="C2" s="4"/>
      <c r="D2" s="4"/>
    </row>
    <row r="3" spans="1:5" ht="23.25" customHeight="1" x14ac:dyDescent="0.25">
      <c r="A3" s="4"/>
      <c r="B3" s="53">
        <v>2007</v>
      </c>
      <c r="C3" s="53">
        <v>2010</v>
      </c>
      <c r="D3" s="53">
        <v>2013</v>
      </c>
      <c r="E3" s="52">
        <v>2016</v>
      </c>
    </row>
    <row r="4" spans="1:5" ht="15" customHeight="1" x14ac:dyDescent="0.25">
      <c r="A4" s="17" t="s">
        <v>19</v>
      </c>
      <c r="B4" s="54">
        <f>9.5/11.75</f>
        <v>0.80851063829787229</v>
      </c>
      <c r="C4" s="54">
        <f>6.25/7.6</f>
        <v>0.82236842105263164</v>
      </c>
      <c r="D4" s="54">
        <f>10/11</f>
        <v>0.90909090909090906</v>
      </c>
      <c r="E4" s="54">
        <f>5/8.08</f>
        <v>0.61881188118811881</v>
      </c>
    </row>
    <row r="5" spans="1:5" ht="15" customHeight="1" x14ac:dyDescent="0.25">
      <c r="A5" s="17" t="s">
        <v>38</v>
      </c>
      <c r="B5" s="54">
        <f>1/11.75</f>
        <v>8.5106382978723402E-2</v>
      </c>
      <c r="C5" s="54">
        <f>0.75/7.6</f>
        <v>9.8684210526315791E-2</v>
      </c>
      <c r="D5" s="54"/>
      <c r="E5" s="54"/>
    </row>
    <row r="6" spans="1:5" ht="15" customHeight="1" x14ac:dyDescent="0.25">
      <c r="A6" s="17" t="s">
        <v>453</v>
      </c>
      <c r="B6" s="54">
        <f>1.25/11.75</f>
        <v>0.10638297872340426</v>
      </c>
      <c r="C6" s="54"/>
      <c r="D6" s="54"/>
      <c r="E6" s="54"/>
    </row>
    <row r="7" spans="1:5" ht="15" customHeight="1" x14ac:dyDescent="0.25">
      <c r="A7" s="17" t="s">
        <v>24</v>
      </c>
      <c r="B7" s="54"/>
      <c r="C7" s="54">
        <f>0.6/7.6</f>
        <v>7.8947368421052627E-2</v>
      </c>
      <c r="D7" s="54"/>
      <c r="E7" s="54"/>
    </row>
    <row r="8" spans="1:5" ht="15" customHeight="1" x14ac:dyDescent="0.25">
      <c r="A8" s="17" t="s">
        <v>82</v>
      </c>
      <c r="B8" s="54"/>
      <c r="C8" s="54"/>
      <c r="D8" s="54">
        <f>1/11</f>
        <v>9.0909090909090912E-2</v>
      </c>
      <c r="E8" s="54">
        <f>0.5/8.08</f>
        <v>6.1881188118811881E-2</v>
      </c>
    </row>
    <row r="9" spans="1:5" ht="15" customHeight="1" x14ac:dyDescent="0.25">
      <c r="A9" s="48" t="s">
        <v>175</v>
      </c>
      <c r="B9" s="54"/>
      <c r="C9" s="54"/>
      <c r="D9" s="54"/>
      <c r="E9" s="54">
        <f t="shared" ref="E9:E10" si="0">1/8.08</f>
        <v>0.12376237623762376</v>
      </c>
    </row>
    <row r="10" spans="1:5" ht="15" customHeight="1" x14ac:dyDescent="0.25">
      <c r="A10" s="48" t="s">
        <v>384</v>
      </c>
      <c r="B10" s="54"/>
      <c r="C10" s="54"/>
      <c r="D10" s="54"/>
      <c r="E10" s="54">
        <f t="shared" si="0"/>
        <v>0.12376237623762376</v>
      </c>
    </row>
    <row r="11" spans="1:5" ht="15" customHeight="1" x14ac:dyDescent="0.25">
      <c r="A11" s="48" t="s">
        <v>316</v>
      </c>
      <c r="B11" s="54"/>
      <c r="C11" s="54"/>
      <c r="D11" s="54"/>
      <c r="E11" s="54">
        <f>0.3/8.08</f>
        <v>3.7128712871287127E-2</v>
      </c>
    </row>
    <row r="12" spans="1:5" ht="15" customHeight="1" x14ac:dyDescent="0.25">
      <c r="A12" s="48" t="s">
        <v>92</v>
      </c>
      <c r="B12" s="54"/>
      <c r="C12" s="54"/>
      <c r="D12" s="54"/>
      <c r="E12" s="54">
        <f>0.28/8.08</f>
        <v>3.4653465346534656E-2</v>
      </c>
    </row>
    <row r="13" spans="1:5" ht="15" customHeight="1" x14ac:dyDescent="0.25">
      <c r="A13" s="27"/>
      <c r="B13" s="58"/>
      <c r="C13" s="58"/>
      <c r="D13" s="58"/>
      <c r="E13" s="58"/>
    </row>
    <row r="14" spans="1:5" ht="15" customHeight="1" x14ac:dyDescent="0.25">
      <c r="A14" s="17" t="s">
        <v>28</v>
      </c>
      <c r="B14" s="9"/>
      <c r="C14" s="9"/>
      <c r="D14" s="9"/>
      <c r="E14" s="9"/>
    </row>
    <row r="15" spans="1:5" ht="30" customHeight="1" x14ac:dyDescent="0.25">
      <c r="A15" s="17" t="s">
        <v>96</v>
      </c>
      <c r="B15" s="19" t="s">
        <v>133</v>
      </c>
      <c r="C15" s="9"/>
      <c r="D15" s="9"/>
      <c r="E15" s="20" t="s">
        <v>98</v>
      </c>
    </row>
    <row r="16" spans="1:5" ht="15" customHeight="1" x14ac:dyDescent="0.25">
      <c r="A16" s="18" t="s">
        <v>31</v>
      </c>
      <c r="B16" s="9"/>
      <c r="C16" s="19" t="s">
        <v>136</v>
      </c>
      <c r="D16" s="19"/>
      <c r="E16" s="19"/>
    </row>
    <row r="17" spans="1:5" ht="15" customHeight="1" x14ac:dyDescent="0.25">
      <c r="A17" s="18" t="s">
        <v>39</v>
      </c>
      <c r="B17" s="19"/>
      <c r="C17" s="19"/>
      <c r="D17" s="19"/>
      <c r="E17" s="19"/>
    </row>
    <row r="18" spans="1:5" ht="30" customHeight="1" x14ac:dyDescent="0.25">
      <c r="A18" s="18" t="s">
        <v>40</v>
      </c>
      <c r="B18" s="19"/>
      <c r="C18" s="19"/>
      <c r="D18" s="19" t="s">
        <v>460</v>
      </c>
      <c r="E18" s="19"/>
    </row>
    <row r="19" spans="1:5" ht="30" customHeight="1" x14ac:dyDescent="0.25">
      <c r="A19" s="18" t="s">
        <v>41</v>
      </c>
      <c r="B19" s="19" t="s">
        <v>195</v>
      </c>
      <c r="C19" s="19"/>
      <c r="D19" s="19"/>
      <c r="E19" s="19"/>
    </row>
    <row r="20" spans="1:5" ht="15" customHeight="1" x14ac:dyDescent="0.25">
      <c r="A20" s="18" t="s">
        <v>43</v>
      </c>
      <c r="B20" s="19"/>
      <c r="C20" s="19"/>
      <c r="D20" s="19"/>
      <c r="E20" s="19"/>
    </row>
    <row r="21" spans="1:5" ht="30" customHeight="1" x14ac:dyDescent="0.25">
      <c r="A21" s="18" t="s">
        <v>44</v>
      </c>
      <c r="B21" s="19"/>
      <c r="C21" s="19"/>
      <c r="D21" s="19" t="s">
        <v>460</v>
      </c>
      <c r="E21" s="19"/>
    </row>
    <row r="22" spans="1:5" ht="30" customHeight="1" x14ac:dyDescent="0.25">
      <c r="A22" s="18" t="s">
        <v>45</v>
      </c>
      <c r="B22" s="19" t="s">
        <v>42</v>
      </c>
      <c r="C22" s="19" t="s">
        <v>136</v>
      </c>
      <c r="D22" s="19" t="s">
        <v>460</v>
      </c>
      <c r="E22" s="22" t="s">
        <v>461</v>
      </c>
    </row>
    <row r="23" spans="1:5" ht="15" customHeight="1" x14ac:dyDescent="0.25">
      <c r="A23" s="18" t="s">
        <v>52</v>
      </c>
      <c r="B23" s="9"/>
      <c r="C23" s="19"/>
      <c r="D23" s="19"/>
      <c r="E23" s="19"/>
    </row>
    <row r="24" spans="1:5" ht="15" customHeight="1" x14ac:dyDescent="0.25">
      <c r="A24" s="58"/>
      <c r="C24" s="4"/>
      <c r="D24" s="4"/>
      <c r="E24" s="4"/>
    </row>
    <row r="25" spans="1:5" ht="15" customHeight="1" x14ac:dyDescent="0.25">
      <c r="A25" s="17" t="s">
        <v>53</v>
      </c>
      <c r="B25" s="9">
        <v>1.0629999999999999</v>
      </c>
      <c r="C25" s="24">
        <v>1.044</v>
      </c>
      <c r="D25" s="9">
        <v>1.0529999999999999</v>
      </c>
      <c r="E25" s="20">
        <v>1.0609999999999999</v>
      </c>
    </row>
    <row r="26" spans="1:5" ht="15" customHeight="1" x14ac:dyDescent="0.25">
      <c r="A26" s="17" t="s">
        <v>55</v>
      </c>
      <c r="B26" s="9">
        <v>1.014</v>
      </c>
      <c r="C26" s="24">
        <v>1.01</v>
      </c>
      <c r="D26" s="9">
        <v>1.002</v>
      </c>
      <c r="E26" s="20">
        <v>1.002</v>
      </c>
    </row>
    <row r="27" spans="1:5" ht="15" customHeight="1" x14ac:dyDescent="0.25">
      <c r="A27" s="17" t="s">
        <v>57</v>
      </c>
      <c r="B27" s="24">
        <v>150</v>
      </c>
      <c r="C27" s="24">
        <v>150</v>
      </c>
      <c r="D27" s="24" t="s">
        <v>463</v>
      </c>
      <c r="E27" s="37">
        <v>102148154</v>
      </c>
    </row>
    <row r="28" spans="1:5" ht="15" customHeight="1" x14ac:dyDescent="0.25">
      <c r="A28" s="17" t="s">
        <v>58</v>
      </c>
      <c r="B28" s="24">
        <v>565</v>
      </c>
      <c r="C28" s="24">
        <v>565</v>
      </c>
      <c r="D28" s="25" t="s">
        <v>464</v>
      </c>
      <c r="E28" s="20">
        <v>3711</v>
      </c>
    </row>
    <row r="29" spans="1:5" ht="15" customHeight="1" x14ac:dyDescent="0.25">
      <c r="A29" s="4"/>
      <c r="C29" s="4"/>
      <c r="D29" s="4"/>
      <c r="E29" s="4"/>
    </row>
    <row r="30" spans="1:5" ht="15" customHeight="1" x14ac:dyDescent="0.25">
      <c r="A30" s="4"/>
      <c r="C30" s="4"/>
      <c r="D30" s="4"/>
      <c r="E30" s="4"/>
    </row>
    <row r="31" spans="1:5" ht="90" customHeight="1" x14ac:dyDescent="0.25">
      <c r="A31" s="4"/>
      <c r="B31" s="23" t="s">
        <v>465</v>
      </c>
      <c r="C31" s="4"/>
      <c r="D31" s="4"/>
      <c r="E31" s="4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6.7109375" customWidth="1"/>
    <col min="2" max="2" width="17" customWidth="1"/>
  </cols>
  <sheetData>
    <row r="1" spans="1:2" ht="19.5" customHeight="1" x14ac:dyDescent="0.35">
      <c r="A1" s="63" t="s">
        <v>446</v>
      </c>
    </row>
    <row r="2" spans="1:2" ht="15.75" customHeight="1" x14ac:dyDescent="0.35">
      <c r="A2" s="3"/>
    </row>
    <row r="3" spans="1:2" ht="15.75" customHeight="1" x14ac:dyDescent="0.25">
      <c r="A3" s="4"/>
      <c r="B3" s="52">
        <v>2003</v>
      </c>
    </row>
    <row r="4" spans="1:2" ht="15.75" customHeight="1" x14ac:dyDescent="0.25">
      <c r="A4" s="48" t="s">
        <v>112</v>
      </c>
      <c r="B4" s="54">
        <f>12.5/16</f>
        <v>0.78125</v>
      </c>
    </row>
    <row r="5" spans="1:2" ht="15.75" customHeight="1" x14ac:dyDescent="0.25">
      <c r="A5" s="48" t="s">
        <v>167</v>
      </c>
      <c r="B5" s="54">
        <f t="shared" ref="B5:B7" si="0">1/16</f>
        <v>6.25E-2</v>
      </c>
    </row>
    <row r="6" spans="1:2" ht="15.75" customHeight="1" x14ac:dyDescent="0.25">
      <c r="A6" s="48" t="s">
        <v>24</v>
      </c>
      <c r="B6" s="54">
        <f t="shared" si="0"/>
        <v>6.25E-2</v>
      </c>
    </row>
    <row r="7" spans="1:2" ht="15.75" customHeight="1" x14ac:dyDescent="0.25">
      <c r="A7" s="48" t="s">
        <v>82</v>
      </c>
      <c r="B7" s="54">
        <f t="shared" si="0"/>
        <v>6.25E-2</v>
      </c>
    </row>
    <row r="8" spans="1:2" ht="15.75" customHeight="1" x14ac:dyDescent="0.25">
      <c r="A8" s="48" t="s">
        <v>72</v>
      </c>
      <c r="B8" s="54">
        <f t="shared" ref="B8:B9" si="1">0.25/16</f>
        <v>1.5625E-2</v>
      </c>
    </row>
    <row r="9" spans="1:2" ht="15.75" customHeight="1" x14ac:dyDescent="0.25">
      <c r="A9" s="48" t="s">
        <v>118</v>
      </c>
      <c r="B9" s="54">
        <f t="shared" si="1"/>
        <v>1.5625E-2</v>
      </c>
    </row>
    <row r="10" spans="1:2" ht="15.75" customHeight="1" x14ac:dyDescent="0.25">
      <c r="A10" s="27"/>
      <c r="B10" s="58"/>
    </row>
    <row r="11" spans="1:2" ht="15.75" customHeight="1" x14ac:dyDescent="0.25">
      <c r="A11" s="27"/>
      <c r="B11" s="58"/>
    </row>
    <row r="12" spans="1:2" ht="15.75" customHeight="1" x14ac:dyDescent="0.25">
      <c r="A12" s="17" t="s">
        <v>28</v>
      </c>
      <c r="B12" s="9"/>
    </row>
    <row r="13" spans="1:2" ht="15.75" customHeight="1" x14ac:dyDescent="0.25">
      <c r="A13" s="17" t="s">
        <v>96</v>
      </c>
      <c r="B13" s="19"/>
    </row>
    <row r="14" spans="1:2" ht="15.75" customHeight="1" x14ac:dyDescent="0.25">
      <c r="A14" s="18" t="s">
        <v>31</v>
      </c>
      <c r="B14" s="20" t="s">
        <v>170</v>
      </c>
    </row>
    <row r="15" spans="1:2" ht="15.75" customHeight="1" x14ac:dyDescent="0.25">
      <c r="A15" s="18" t="s">
        <v>39</v>
      </c>
      <c r="B15" s="19"/>
    </row>
    <row r="16" spans="1:2" ht="15.75" customHeight="1" x14ac:dyDescent="0.25">
      <c r="A16" s="18" t="s">
        <v>40</v>
      </c>
      <c r="B16" s="19"/>
    </row>
    <row r="17" spans="1:2" ht="15.75" customHeight="1" x14ac:dyDescent="0.25">
      <c r="A17" s="18" t="s">
        <v>41</v>
      </c>
      <c r="B17" s="22" t="s">
        <v>89</v>
      </c>
    </row>
    <row r="18" spans="1:2" ht="15.75" customHeight="1" x14ac:dyDescent="0.25">
      <c r="A18" s="18" t="s">
        <v>43</v>
      </c>
      <c r="B18" s="19"/>
    </row>
    <row r="19" spans="1:2" ht="15.75" customHeight="1" x14ac:dyDescent="0.25">
      <c r="A19" s="18" t="s">
        <v>44</v>
      </c>
      <c r="B19" s="19"/>
    </row>
    <row r="20" spans="1:2" ht="15.75" customHeight="1" x14ac:dyDescent="0.25">
      <c r="A20" s="18" t="s">
        <v>45</v>
      </c>
      <c r="B20" s="19"/>
    </row>
    <row r="21" spans="1:2" ht="15.75" customHeight="1" x14ac:dyDescent="0.25">
      <c r="A21" s="18" t="s">
        <v>52</v>
      </c>
      <c r="B21" s="9"/>
    </row>
    <row r="22" spans="1:2" ht="15.75" customHeight="1" x14ac:dyDescent="0.25">
      <c r="A22" s="58"/>
    </row>
    <row r="23" spans="1:2" ht="15.75" customHeight="1" x14ac:dyDescent="0.25">
      <c r="A23" s="17" t="s">
        <v>53</v>
      </c>
      <c r="B23" s="20">
        <v>1.079</v>
      </c>
    </row>
    <row r="24" spans="1:2" ht="15.75" customHeight="1" x14ac:dyDescent="0.25">
      <c r="A24" s="17" t="s">
        <v>55</v>
      </c>
      <c r="B24" s="20">
        <v>1.0209999999999999</v>
      </c>
    </row>
    <row r="25" spans="1:2" ht="15.75" customHeight="1" x14ac:dyDescent="0.25">
      <c r="A25" s="17" t="s">
        <v>57</v>
      </c>
      <c r="B25" s="25">
        <v>160</v>
      </c>
    </row>
    <row r="26" spans="1:2" ht="15.75" customHeight="1" x14ac:dyDescent="0.25">
      <c r="A26" s="17" t="s">
        <v>58</v>
      </c>
      <c r="B26" s="25">
        <v>550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5.85546875" customWidth="1"/>
    <col min="2" max="3" width="12.42578125" customWidth="1"/>
    <col min="4" max="4" width="11.28515625" customWidth="1"/>
    <col min="5" max="5" width="12.140625" customWidth="1"/>
    <col min="6" max="6" width="10" customWidth="1"/>
    <col min="7" max="7" width="11.5703125" customWidth="1"/>
    <col min="8" max="8" width="14.42578125" customWidth="1"/>
    <col min="9" max="9" width="12" customWidth="1"/>
  </cols>
  <sheetData>
    <row r="1" spans="1:9" ht="23.25" customHeight="1" x14ac:dyDescent="0.35">
      <c r="A1" s="3" t="s">
        <v>454</v>
      </c>
      <c r="B1" s="3"/>
      <c r="C1" s="3"/>
      <c r="D1" s="4"/>
      <c r="E1" s="4"/>
      <c r="G1" s="4"/>
      <c r="H1" s="4"/>
      <c r="I1" s="4"/>
    </row>
    <row r="2" spans="1:9" ht="23.25" customHeight="1" x14ac:dyDescent="0.35">
      <c r="A2" s="3"/>
      <c r="B2" s="3"/>
      <c r="C2" s="3"/>
      <c r="D2" s="4"/>
      <c r="E2" s="4"/>
      <c r="G2" s="4"/>
      <c r="H2" s="4"/>
      <c r="I2" s="4"/>
    </row>
    <row r="3" spans="1:9" ht="23.25" customHeight="1" x14ac:dyDescent="0.25">
      <c r="A3" s="4"/>
      <c r="B3" s="52">
        <v>2001</v>
      </c>
      <c r="C3" s="52">
        <v>2002</v>
      </c>
      <c r="D3" s="53">
        <v>2004</v>
      </c>
      <c r="E3" s="53">
        <v>2008</v>
      </c>
      <c r="F3" s="53">
        <v>2009</v>
      </c>
      <c r="G3" s="53">
        <v>2012</v>
      </c>
      <c r="H3" s="53">
        <v>2014</v>
      </c>
      <c r="I3" s="52">
        <v>2015</v>
      </c>
    </row>
    <row r="4" spans="1:9" ht="15" customHeight="1" x14ac:dyDescent="0.25">
      <c r="A4" s="17" t="s">
        <v>112</v>
      </c>
      <c r="B4" s="54"/>
      <c r="C4" s="54">
        <f>7.5/9.4126</f>
        <v>0.7968042836198288</v>
      </c>
      <c r="D4" s="54">
        <f>8.5/10.75</f>
        <v>0.79069767441860461</v>
      </c>
      <c r="E4" s="54"/>
      <c r="F4" s="54"/>
      <c r="G4" s="54">
        <f>10/15</f>
        <v>0.66666666666666663</v>
      </c>
      <c r="H4" s="54"/>
      <c r="I4" s="54"/>
    </row>
    <row r="5" spans="1:9" ht="15" customHeight="1" x14ac:dyDescent="0.25">
      <c r="A5" s="17" t="s">
        <v>128</v>
      </c>
      <c r="B5" s="54"/>
      <c r="C5" s="54"/>
      <c r="D5" s="54">
        <f>0.5/10.75</f>
        <v>4.6511627906976744E-2</v>
      </c>
      <c r="E5" s="54"/>
      <c r="F5" s="54"/>
      <c r="G5" s="54"/>
      <c r="H5" s="54"/>
      <c r="I5" s="54"/>
    </row>
    <row r="6" spans="1:9" ht="15" customHeight="1" x14ac:dyDescent="0.25">
      <c r="A6" s="17" t="s">
        <v>250</v>
      </c>
      <c r="B6" s="54"/>
      <c r="C6" s="54"/>
      <c r="D6" s="54">
        <f>0.25/10.75</f>
        <v>2.3255813953488372E-2</v>
      </c>
      <c r="E6" s="54"/>
      <c r="F6" s="54"/>
      <c r="G6" s="54"/>
      <c r="H6" s="54"/>
      <c r="I6" s="56">
        <v>4.4999999999999998E-2</v>
      </c>
    </row>
    <row r="7" spans="1:9" ht="15" customHeight="1" x14ac:dyDescent="0.25">
      <c r="A7" s="17" t="s">
        <v>456</v>
      </c>
      <c r="B7" s="54">
        <f>1.25/13.25</f>
        <v>9.4339622641509441E-2</v>
      </c>
      <c r="C7" s="54"/>
      <c r="D7" s="54">
        <f>1.5/10.75</f>
        <v>0.13953488372093023</v>
      </c>
      <c r="E7" s="54"/>
      <c r="F7" s="54"/>
      <c r="G7" s="54">
        <f>0.5/15</f>
        <v>3.3333333333333333E-2</v>
      </c>
      <c r="H7" s="54"/>
      <c r="I7" s="54"/>
    </row>
    <row r="8" spans="1:9" ht="15" customHeight="1" x14ac:dyDescent="0.25">
      <c r="A8" s="17" t="s">
        <v>19</v>
      </c>
      <c r="B8" s="54">
        <f>10/13.25</f>
        <v>0.75471698113207553</v>
      </c>
      <c r="C8" s="54"/>
      <c r="D8" s="54"/>
      <c r="E8" s="54">
        <f>11.5/14</f>
        <v>0.8214285714285714</v>
      </c>
      <c r="F8" s="54">
        <f>7/12</f>
        <v>0.58333333333333337</v>
      </c>
      <c r="G8" s="54">
        <f>2/15</f>
        <v>0.13333333333333333</v>
      </c>
      <c r="H8" s="54">
        <f>12.5/14.125</f>
        <v>0.88495575221238942</v>
      </c>
      <c r="I8" s="56">
        <v>0.27300000000000002</v>
      </c>
    </row>
    <row r="9" spans="1:9" ht="15" customHeight="1" x14ac:dyDescent="0.25">
      <c r="A9" s="17" t="s">
        <v>82</v>
      </c>
      <c r="B9" s="54"/>
      <c r="C9" s="54">
        <f>1.1/9.4125</f>
        <v>0.11686586985391767</v>
      </c>
      <c r="D9" s="54"/>
      <c r="E9" s="54">
        <f t="shared" ref="E9:E10" si="0">1/14</f>
        <v>7.1428571428571425E-2</v>
      </c>
      <c r="F9" s="54"/>
      <c r="G9" s="54"/>
      <c r="H9" s="54"/>
      <c r="I9" s="56">
        <v>0.27300000000000002</v>
      </c>
    </row>
    <row r="10" spans="1:9" ht="15" customHeight="1" x14ac:dyDescent="0.25">
      <c r="A10" s="17" t="s">
        <v>92</v>
      </c>
      <c r="B10" s="54"/>
      <c r="C10" s="54"/>
      <c r="D10" s="54"/>
      <c r="E10" s="54">
        <f t="shared" si="0"/>
        <v>7.1428571428571425E-2</v>
      </c>
      <c r="F10" s="54"/>
      <c r="G10" s="54"/>
      <c r="H10" s="54"/>
      <c r="I10" s="54"/>
    </row>
    <row r="11" spans="1:9" ht="15" customHeight="1" x14ac:dyDescent="0.25">
      <c r="A11" s="17" t="s">
        <v>462</v>
      </c>
      <c r="B11" s="54"/>
      <c r="C11" s="54"/>
      <c r="D11" s="54"/>
      <c r="E11" s="54">
        <f>0.5/14</f>
        <v>3.5714285714285712E-2</v>
      </c>
      <c r="F11" s="54"/>
      <c r="G11" s="54"/>
      <c r="H11" s="54"/>
      <c r="I11" s="54"/>
    </row>
    <row r="12" spans="1:9" ht="15" customHeight="1" x14ac:dyDescent="0.25">
      <c r="A12" s="17" t="s">
        <v>204</v>
      </c>
      <c r="B12" s="54"/>
      <c r="C12" s="54"/>
      <c r="D12" s="54"/>
      <c r="E12" s="54"/>
      <c r="F12" s="54">
        <f>4/12</f>
        <v>0.33333333333333331</v>
      </c>
      <c r="G12" s="54"/>
      <c r="H12" s="54"/>
      <c r="I12" s="54"/>
    </row>
    <row r="13" spans="1:9" ht="15" customHeight="1" x14ac:dyDescent="0.25">
      <c r="A13" s="17" t="s">
        <v>24</v>
      </c>
      <c r="B13" s="54"/>
      <c r="C13" s="54"/>
      <c r="D13" s="54"/>
      <c r="E13" s="54"/>
      <c r="F13" s="54">
        <f>1/12</f>
        <v>8.3333333333333329E-2</v>
      </c>
      <c r="G13" s="54"/>
      <c r="H13" s="54"/>
      <c r="I13" s="54"/>
    </row>
    <row r="14" spans="1:9" ht="15" customHeight="1" x14ac:dyDescent="0.25">
      <c r="A14" s="17" t="s">
        <v>271</v>
      </c>
      <c r="B14" s="54"/>
      <c r="C14" s="54"/>
      <c r="D14" s="54"/>
      <c r="E14" s="54"/>
      <c r="F14" s="54"/>
      <c r="G14" s="54">
        <f t="shared" ref="G14:G15" si="1">1/15</f>
        <v>6.6666666666666666E-2</v>
      </c>
      <c r="H14" s="54"/>
      <c r="I14" s="54"/>
    </row>
    <row r="15" spans="1:9" ht="15" customHeight="1" x14ac:dyDescent="0.25">
      <c r="A15" s="17" t="s">
        <v>134</v>
      </c>
      <c r="B15" s="54"/>
      <c r="C15" s="54"/>
      <c r="D15" s="54"/>
      <c r="E15" s="54"/>
      <c r="F15" s="54"/>
      <c r="G15" s="54">
        <f t="shared" si="1"/>
        <v>6.6666666666666666E-2</v>
      </c>
      <c r="H15" s="54"/>
      <c r="I15" s="54"/>
    </row>
    <row r="16" spans="1:9" ht="15" customHeight="1" x14ac:dyDescent="0.25">
      <c r="A16" s="17" t="s">
        <v>74</v>
      </c>
      <c r="B16" s="54"/>
      <c r="C16" s="54"/>
      <c r="D16" s="54"/>
      <c r="E16" s="54"/>
      <c r="F16" s="54"/>
      <c r="G16" s="54">
        <f>0.5/15</f>
        <v>3.3333333333333333E-2</v>
      </c>
      <c r="H16" s="54"/>
      <c r="I16" s="54"/>
    </row>
    <row r="17" spans="1:9" ht="15" customHeight="1" x14ac:dyDescent="0.25">
      <c r="A17" s="17" t="s">
        <v>157</v>
      </c>
      <c r="B17" s="54">
        <f>0.25/13.25</f>
        <v>1.8867924528301886E-2</v>
      </c>
      <c r="C17" s="54"/>
      <c r="D17" s="54"/>
      <c r="E17" s="54"/>
      <c r="F17" s="54"/>
      <c r="G17" s="54"/>
      <c r="H17" s="54">
        <f>(6/16)/14.125</f>
        <v>2.6548672566371681E-2</v>
      </c>
      <c r="I17" s="56">
        <v>4.4999999999999998E-2</v>
      </c>
    </row>
    <row r="18" spans="1:9" ht="15" customHeight="1" x14ac:dyDescent="0.25">
      <c r="A18" s="17" t="s">
        <v>38</v>
      </c>
      <c r="B18" s="54">
        <f>1/13.25</f>
        <v>7.5471698113207544E-2</v>
      </c>
      <c r="C18" s="54"/>
      <c r="D18" s="54"/>
      <c r="E18" s="54"/>
      <c r="F18" s="54"/>
      <c r="G18" s="54"/>
      <c r="H18" s="54">
        <f>1.25/14.125</f>
        <v>8.8495575221238937E-2</v>
      </c>
      <c r="I18" s="56">
        <v>4.4999999999999998E-2</v>
      </c>
    </row>
    <row r="19" spans="1:9" ht="15" customHeight="1" x14ac:dyDescent="0.25">
      <c r="A19" s="48" t="s">
        <v>471</v>
      </c>
      <c r="B19" s="54">
        <f>0.5/13.25</f>
        <v>3.7735849056603772E-2</v>
      </c>
      <c r="C19" s="54"/>
      <c r="D19" s="54"/>
      <c r="E19" s="54"/>
      <c r="F19" s="54"/>
      <c r="G19" s="54"/>
      <c r="H19" s="54"/>
      <c r="I19" s="54"/>
    </row>
    <row r="20" spans="1:9" ht="15" customHeight="1" x14ac:dyDescent="0.25">
      <c r="A20" s="48" t="s">
        <v>293</v>
      </c>
      <c r="B20" s="54">
        <f>0.25/13.25</f>
        <v>1.8867924528301886E-2</v>
      </c>
      <c r="C20" s="54"/>
      <c r="D20" s="54"/>
      <c r="E20" s="54"/>
      <c r="F20" s="54"/>
      <c r="G20" s="54"/>
      <c r="H20" s="54"/>
      <c r="I20" s="54"/>
    </row>
    <row r="21" spans="1:9" ht="15" customHeight="1" x14ac:dyDescent="0.25">
      <c r="A21" s="48" t="s">
        <v>313</v>
      </c>
      <c r="B21" s="54"/>
      <c r="C21" s="54">
        <f>0.8125/9.4125</f>
        <v>8.632138114209828E-2</v>
      </c>
      <c r="D21" s="54"/>
      <c r="E21" s="54"/>
      <c r="F21" s="54"/>
      <c r="G21" s="54"/>
      <c r="H21" s="54"/>
      <c r="I21" s="54"/>
    </row>
    <row r="22" spans="1:9" ht="15" customHeight="1" x14ac:dyDescent="0.25">
      <c r="A22" s="48" t="s">
        <v>472</v>
      </c>
      <c r="B22" s="54"/>
      <c r="C22" s="54"/>
      <c r="D22" s="54"/>
      <c r="E22" s="54"/>
      <c r="F22" s="54"/>
      <c r="G22" s="54"/>
      <c r="H22" s="54"/>
      <c r="I22" s="56">
        <v>0.27300000000000002</v>
      </c>
    </row>
    <row r="23" spans="1:9" ht="15" customHeight="1" x14ac:dyDescent="0.25">
      <c r="A23" s="48" t="s">
        <v>217</v>
      </c>
      <c r="B23" s="54"/>
      <c r="C23" s="54"/>
      <c r="D23" s="54"/>
      <c r="E23" s="54"/>
      <c r="F23" s="54"/>
      <c r="G23" s="54"/>
      <c r="H23" s="54"/>
      <c r="I23" s="56">
        <v>4.4999999999999998E-2</v>
      </c>
    </row>
    <row r="24" spans="1:9" ht="15" customHeight="1" x14ac:dyDescent="0.25">
      <c r="A24" s="27"/>
      <c r="B24" s="58"/>
      <c r="C24" s="58"/>
      <c r="D24" s="58" t="s">
        <v>27</v>
      </c>
      <c r="E24" s="58"/>
      <c r="F24" s="58"/>
      <c r="G24" s="58"/>
      <c r="H24" s="58"/>
      <c r="I24" s="58"/>
    </row>
    <row r="25" spans="1:9" ht="15" customHeight="1" x14ac:dyDescent="0.25">
      <c r="A25" s="27"/>
      <c r="B25" s="58"/>
      <c r="C25" s="58"/>
      <c r="D25" s="58"/>
      <c r="E25" s="58"/>
      <c r="F25" s="58"/>
      <c r="G25" s="58"/>
      <c r="H25" s="58"/>
      <c r="I25" s="58"/>
    </row>
    <row r="26" spans="1:9" ht="15" customHeight="1" x14ac:dyDescent="0.25">
      <c r="A26" s="17" t="s">
        <v>28</v>
      </c>
      <c r="B26" s="9"/>
      <c r="C26" s="9"/>
      <c r="D26" s="9"/>
      <c r="E26" s="9"/>
      <c r="F26" s="9"/>
      <c r="G26" s="9"/>
      <c r="H26" s="9"/>
      <c r="I26" s="9"/>
    </row>
    <row r="27" spans="1:9" ht="45" customHeight="1" x14ac:dyDescent="0.25">
      <c r="A27" s="17" t="s">
        <v>96</v>
      </c>
      <c r="B27" s="22" t="s">
        <v>133</v>
      </c>
      <c r="C27" s="19"/>
      <c r="D27" s="19" t="s">
        <v>473</v>
      </c>
      <c r="E27" s="9"/>
      <c r="F27" s="9" t="s">
        <v>303</v>
      </c>
      <c r="G27" s="9"/>
      <c r="H27" s="9" t="s">
        <v>36</v>
      </c>
      <c r="I27" s="9"/>
    </row>
    <row r="28" spans="1:9" ht="15" customHeight="1" x14ac:dyDescent="0.25">
      <c r="A28" s="18" t="s">
        <v>31</v>
      </c>
      <c r="B28" s="20" t="s">
        <v>36</v>
      </c>
      <c r="C28" s="22" t="s">
        <v>474</v>
      </c>
      <c r="D28" s="9"/>
      <c r="E28" s="19" t="s">
        <v>75</v>
      </c>
      <c r="F28" s="19"/>
      <c r="G28" s="19" t="s">
        <v>42</v>
      </c>
      <c r="H28" s="9" t="s">
        <v>36</v>
      </c>
      <c r="I28" s="46" t="s">
        <v>195</v>
      </c>
    </row>
    <row r="29" spans="1:9" ht="30" customHeight="1" x14ac:dyDescent="0.25">
      <c r="A29" s="18" t="s">
        <v>39</v>
      </c>
      <c r="B29" s="19"/>
      <c r="C29" s="19"/>
      <c r="D29" s="19" t="s">
        <v>133</v>
      </c>
      <c r="E29" s="19"/>
      <c r="F29" s="19"/>
      <c r="G29" s="19"/>
      <c r="H29" s="19"/>
      <c r="I29" s="19"/>
    </row>
    <row r="30" spans="1:9" ht="15" customHeight="1" x14ac:dyDescent="0.25">
      <c r="A30" s="18" t="s">
        <v>40</v>
      </c>
      <c r="B30" s="22" t="s">
        <v>42</v>
      </c>
      <c r="C30" s="19"/>
      <c r="D30" s="19"/>
      <c r="E30" s="19"/>
      <c r="F30" s="19" t="s">
        <v>303</v>
      </c>
      <c r="G30" s="19"/>
      <c r="H30" s="19"/>
      <c r="I30" s="19"/>
    </row>
    <row r="31" spans="1:9" ht="30" customHeight="1" x14ac:dyDescent="0.25">
      <c r="A31" s="18" t="s">
        <v>41</v>
      </c>
      <c r="B31" s="22" t="s">
        <v>42</v>
      </c>
      <c r="C31" s="22" t="s">
        <v>195</v>
      </c>
      <c r="D31" s="19" t="s">
        <v>133</v>
      </c>
      <c r="E31" s="19"/>
      <c r="F31" s="19"/>
      <c r="G31" s="19"/>
      <c r="H31" s="19" t="s">
        <v>133</v>
      </c>
      <c r="I31" s="19"/>
    </row>
    <row r="32" spans="1:9" ht="15" customHeight="1" x14ac:dyDescent="0.25">
      <c r="A32" s="18" t="s">
        <v>43</v>
      </c>
      <c r="B32" s="19"/>
      <c r="C32" s="19"/>
      <c r="D32" s="19"/>
      <c r="E32" s="19"/>
      <c r="F32" s="19"/>
      <c r="G32" s="19"/>
      <c r="H32" s="19"/>
      <c r="I32" s="19"/>
    </row>
    <row r="33" spans="1:9" ht="15" customHeight="1" x14ac:dyDescent="0.25">
      <c r="A33" s="18" t="s">
        <v>44</v>
      </c>
      <c r="B33" s="19"/>
      <c r="C33" s="19"/>
      <c r="D33" s="19"/>
      <c r="E33" s="19"/>
      <c r="F33" s="19" t="s">
        <v>205</v>
      </c>
      <c r="G33" s="19"/>
      <c r="H33" s="19"/>
      <c r="I33" s="19"/>
    </row>
    <row r="34" spans="1:9" ht="30" customHeight="1" x14ac:dyDescent="0.25">
      <c r="A34" s="18" t="s">
        <v>45</v>
      </c>
      <c r="B34" s="22" t="s">
        <v>195</v>
      </c>
      <c r="C34" s="19"/>
      <c r="D34" s="19"/>
      <c r="E34" s="19" t="s">
        <v>133</v>
      </c>
      <c r="F34" s="19"/>
      <c r="G34" s="19"/>
      <c r="H34" s="19"/>
      <c r="I34" s="19"/>
    </row>
    <row r="35" spans="1:9" ht="30" customHeight="1" x14ac:dyDescent="0.25">
      <c r="A35" s="18" t="s">
        <v>52</v>
      </c>
      <c r="B35" s="19"/>
      <c r="C35" s="22" t="s">
        <v>195</v>
      </c>
      <c r="D35" s="19" t="s">
        <v>133</v>
      </c>
      <c r="E35" s="19"/>
      <c r="F35" s="19" t="s">
        <v>205</v>
      </c>
      <c r="G35" s="19"/>
      <c r="H35" s="19"/>
      <c r="I35" s="19"/>
    </row>
    <row r="36" spans="1:9" ht="15" customHeight="1" x14ac:dyDescent="0.25">
      <c r="A36" s="58"/>
      <c r="B36" s="4"/>
      <c r="C36" s="4"/>
      <c r="D36" s="4"/>
      <c r="E36" s="4"/>
      <c r="G36" s="4"/>
      <c r="H36" s="4"/>
      <c r="I36" s="4"/>
    </row>
    <row r="37" spans="1:9" ht="15" customHeight="1" x14ac:dyDescent="0.25">
      <c r="A37" s="17" t="s">
        <v>53</v>
      </c>
      <c r="B37" s="20">
        <v>1.08</v>
      </c>
      <c r="C37" s="20">
        <v>1.0620000000000001</v>
      </c>
      <c r="D37" s="9">
        <v>1.0620000000000001</v>
      </c>
      <c r="E37" s="24">
        <v>1.0549999999999999</v>
      </c>
      <c r="F37" s="9">
        <v>1.069</v>
      </c>
      <c r="G37" s="9">
        <v>1.083</v>
      </c>
      <c r="H37" s="9">
        <v>1.0549999999999999</v>
      </c>
      <c r="I37" s="20">
        <v>1.056</v>
      </c>
    </row>
    <row r="38" spans="1:9" ht="15" customHeight="1" x14ac:dyDescent="0.25">
      <c r="A38" s="17" t="s">
        <v>55</v>
      </c>
      <c r="B38" s="20">
        <v>1.0129999999999999</v>
      </c>
      <c r="C38" s="20">
        <v>1.016</v>
      </c>
      <c r="D38" s="9">
        <v>1.004</v>
      </c>
      <c r="E38" s="24">
        <v>1.0029999999999999</v>
      </c>
      <c r="F38" s="9">
        <v>1.01</v>
      </c>
      <c r="G38" s="9">
        <v>10.119999999999999</v>
      </c>
      <c r="H38" s="9">
        <v>1</v>
      </c>
      <c r="I38" s="20">
        <v>1.006</v>
      </c>
    </row>
    <row r="39" spans="1:9" ht="15" customHeight="1" x14ac:dyDescent="0.25">
      <c r="A39" s="17" t="s">
        <v>57</v>
      </c>
      <c r="B39" s="25" t="s">
        <v>476</v>
      </c>
      <c r="C39" s="25" t="s">
        <v>477</v>
      </c>
      <c r="D39" s="24">
        <v>150</v>
      </c>
      <c r="E39" s="24">
        <v>148</v>
      </c>
      <c r="F39" s="24">
        <v>148</v>
      </c>
      <c r="G39" s="24">
        <v>149</v>
      </c>
      <c r="H39" s="24">
        <v>146</v>
      </c>
      <c r="I39" s="25">
        <v>154</v>
      </c>
    </row>
    <row r="40" spans="1:9" ht="28.5" customHeight="1" x14ac:dyDescent="0.25">
      <c r="A40" s="17" t="s">
        <v>58</v>
      </c>
      <c r="B40" s="67" t="s">
        <v>480</v>
      </c>
      <c r="C40" s="67" t="s">
        <v>481</v>
      </c>
      <c r="D40" s="68" t="s">
        <v>483</v>
      </c>
      <c r="E40" s="24" t="s">
        <v>484</v>
      </c>
      <c r="F40" s="24" t="s">
        <v>485</v>
      </c>
      <c r="G40" s="9" t="s">
        <v>486</v>
      </c>
      <c r="H40" s="9">
        <v>3726</v>
      </c>
      <c r="I40" s="20" t="s">
        <v>487</v>
      </c>
    </row>
    <row r="41" spans="1:9" ht="15" customHeight="1" x14ac:dyDescent="0.25">
      <c r="A41" s="4"/>
      <c r="B41" s="4"/>
      <c r="C41" s="4"/>
      <c r="D41" s="4"/>
      <c r="E41" s="4"/>
      <c r="G41" s="4"/>
      <c r="H41" s="4"/>
      <c r="I41" s="4"/>
    </row>
    <row r="42" spans="1:9" ht="90" customHeight="1" x14ac:dyDescent="0.25">
      <c r="A42" s="4"/>
      <c r="D42" s="4"/>
      <c r="E42" s="4"/>
      <c r="G42" s="23" t="s">
        <v>488</v>
      </c>
      <c r="H42" s="23" t="s">
        <v>489</v>
      </c>
      <c r="I42" s="69" t="s">
        <v>490</v>
      </c>
    </row>
    <row r="43" spans="1:9" ht="120" customHeight="1" x14ac:dyDescent="0.25">
      <c r="A43" s="4"/>
      <c r="B43" s="40" t="s">
        <v>491</v>
      </c>
      <c r="C43" s="40" t="s">
        <v>492</v>
      </c>
      <c r="D43" s="4"/>
      <c r="E43" s="4"/>
      <c r="G43" s="4"/>
      <c r="H43" s="23" t="s">
        <v>493</v>
      </c>
      <c r="I43" s="2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4.42578125" customWidth="1"/>
    <col min="2" max="2" width="12.85546875" customWidth="1"/>
    <col min="3" max="3" width="10.85546875" customWidth="1"/>
    <col min="4" max="4" width="15.7109375" customWidth="1"/>
    <col min="5" max="7" width="7.5703125" customWidth="1"/>
  </cols>
  <sheetData>
    <row r="1" spans="1:4" ht="23.25" customHeight="1" x14ac:dyDescent="0.35">
      <c r="A1" s="3" t="s">
        <v>455</v>
      </c>
      <c r="B1" s="3"/>
      <c r="D1" s="4"/>
    </row>
    <row r="2" spans="1:4" ht="23.25" customHeight="1" x14ac:dyDescent="0.35">
      <c r="A2" s="3"/>
      <c r="B2" s="3"/>
      <c r="D2" s="4"/>
    </row>
    <row r="3" spans="1:4" ht="23.25" customHeight="1" x14ac:dyDescent="0.25">
      <c r="A3" s="4"/>
      <c r="B3" s="52">
        <v>2002</v>
      </c>
      <c r="C3" s="53">
        <v>2004</v>
      </c>
      <c r="D3" s="53">
        <v>2008</v>
      </c>
    </row>
    <row r="4" spans="1:4" ht="15" customHeight="1" x14ac:dyDescent="0.25">
      <c r="A4" s="17" t="s">
        <v>19</v>
      </c>
      <c r="B4" s="54"/>
      <c r="C4" s="54">
        <f>2.75/6.5</f>
        <v>0.42307692307692307</v>
      </c>
      <c r="D4" s="54"/>
    </row>
    <row r="5" spans="1:4" ht="15" customHeight="1" x14ac:dyDescent="0.25">
      <c r="A5" s="17" t="s">
        <v>38</v>
      </c>
      <c r="B5" s="56">
        <v>0.5</v>
      </c>
      <c r="C5" s="54">
        <f>3.75/6.5</f>
        <v>0.57692307692307687</v>
      </c>
      <c r="D5" s="54"/>
    </row>
    <row r="6" spans="1:4" ht="15" customHeight="1" x14ac:dyDescent="0.25">
      <c r="A6" s="17" t="s">
        <v>457</v>
      </c>
      <c r="B6" s="54"/>
      <c r="C6" s="54"/>
      <c r="D6" s="54">
        <v>1</v>
      </c>
    </row>
    <row r="7" spans="1:4" ht="15" customHeight="1" x14ac:dyDescent="0.25">
      <c r="A7" s="48" t="s">
        <v>14</v>
      </c>
      <c r="B7" s="56">
        <v>0.5</v>
      </c>
      <c r="C7" s="54"/>
      <c r="D7" s="54"/>
    </row>
    <row r="8" spans="1:4" ht="15" customHeight="1" x14ac:dyDescent="0.25">
      <c r="A8" s="27"/>
      <c r="B8" s="58"/>
      <c r="C8" s="58"/>
      <c r="D8" s="58"/>
    </row>
    <row r="9" spans="1:4" ht="15" customHeight="1" x14ac:dyDescent="0.25">
      <c r="A9" s="27"/>
      <c r="B9" s="58"/>
      <c r="C9" s="58"/>
      <c r="D9" s="58"/>
    </row>
    <row r="10" spans="1:4" ht="15" customHeight="1" x14ac:dyDescent="0.25">
      <c r="A10" s="17" t="s">
        <v>28</v>
      </c>
      <c r="B10" s="9"/>
      <c r="C10" s="9"/>
      <c r="D10" s="9" t="s">
        <v>458</v>
      </c>
    </row>
    <row r="11" spans="1:4" ht="15" customHeight="1" x14ac:dyDescent="0.25">
      <c r="A11" s="17" t="s">
        <v>96</v>
      </c>
      <c r="B11" s="19"/>
      <c r="C11" s="19"/>
      <c r="D11" s="9"/>
    </row>
    <row r="12" spans="1:4" ht="15" customHeight="1" x14ac:dyDescent="0.25">
      <c r="A12" s="18" t="s">
        <v>31</v>
      </c>
      <c r="B12" s="9"/>
      <c r="C12" s="9"/>
      <c r="D12" s="19"/>
    </row>
    <row r="13" spans="1:4" ht="15" customHeight="1" x14ac:dyDescent="0.25">
      <c r="A13" s="18" t="s">
        <v>39</v>
      </c>
      <c r="B13" s="19"/>
      <c r="C13" s="19"/>
      <c r="D13" s="19"/>
    </row>
    <row r="14" spans="1:4" ht="15" customHeight="1" x14ac:dyDescent="0.25">
      <c r="A14" s="18" t="s">
        <v>40</v>
      </c>
      <c r="B14" s="22" t="s">
        <v>49</v>
      </c>
      <c r="C14" s="19"/>
      <c r="D14" s="19"/>
    </row>
    <row r="15" spans="1:4" ht="30" customHeight="1" x14ac:dyDescent="0.25">
      <c r="A15" s="18" t="s">
        <v>41</v>
      </c>
      <c r="B15" s="19"/>
      <c r="C15" s="19" t="s">
        <v>195</v>
      </c>
      <c r="D15" s="19"/>
    </row>
    <row r="16" spans="1:4" ht="15" customHeight="1" x14ac:dyDescent="0.25">
      <c r="A16" s="18" t="s">
        <v>43</v>
      </c>
      <c r="B16" s="19"/>
      <c r="C16" s="19"/>
      <c r="D16" s="19"/>
    </row>
    <row r="17" spans="1:4" ht="15" customHeight="1" x14ac:dyDescent="0.25">
      <c r="A17" s="18" t="s">
        <v>44</v>
      </c>
      <c r="B17" s="19"/>
      <c r="C17" s="19"/>
      <c r="D17" s="19"/>
    </row>
    <row r="18" spans="1:4" ht="15" customHeight="1" x14ac:dyDescent="0.25">
      <c r="A18" s="18" t="s">
        <v>45</v>
      </c>
      <c r="B18" s="19"/>
      <c r="C18" s="19"/>
      <c r="D18" s="19"/>
    </row>
    <row r="19" spans="1:4" ht="15" customHeight="1" x14ac:dyDescent="0.25">
      <c r="A19" s="18" t="s">
        <v>52</v>
      </c>
      <c r="B19" s="19"/>
      <c r="C19" s="19"/>
      <c r="D19" s="19"/>
    </row>
    <row r="20" spans="1:4" ht="15" customHeight="1" x14ac:dyDescent="0.25">
      <c r="A20" s="58"/>
      <c r="D20" s="4"/>
    </row>
    <row r="21" spans="1:4" ht="15" customHeight="1" x14ac:dyDescent="0.25">
      <c r="A21" s="17" t="s">
        <v>53</v>
      </c>
      <c r="B21" s="20">
        <v>1.03</v>
      </c>
      <c r="C21" s="9">
        <v>1.022</v>
      </c>
      <c r="D21" s="24">
        <v>1.0329999999999999</v>
      </c>
    </row>
    <row r="22" spans="1:4" ht="15" customHeight="1" x14ac:dyDescent="0.25">
      <c r="A22" s="17" t="s">
        <v>55</v>
      </c>
      <c r="B22" s="20">
        <v>1.008</v>
      </c>
      <c r="C22" s="9">
        <v>1.044</v>
      </c>
      <c r="D22" s="24" t="s">
        <v>106</v>
      </c>
    </row>
    <row r="23" spans="1:4" ht="15" customHeight="1" x14ac:dyDescent="0.25">
      <c r="A23" s="17" t="s">
        <v>57</v>
      </c>
      <c r="B23" s="25">
        <v>155</v>
      </c>
      <c r="C23" s="24">
        <v>153</v>
      </c>
      <c r="D23" s="24" t="s">
        <v>106</v>
      </c>
    </row>
    <row r="24" spans="1:4" ht="15" customHeight="1" x14ac:dyDescent="0.25">
      <c r="A24" s="17" t="s">
        <v>58</v>
      </c>
      <c r="B24" s="67" t="s">
        <v>459</v>
      </c>
      <c r="C24" s="68">
        <v>1007</v>
      </c>
      <c r="D24" s="24" t="s">
        <v>466</v>
      </c>
    </row>
    <row r="25" spans="1:4" ht="15" customHeight="1" x14ac:dyDescent="0.25">
      <c r="A25" s="4"/>
      <c r="B25" s="4"/>
      <c r="D25" s="4"/>
    </row>
    <row r="26" spans="1:4" ht="30" customHeight="1" x14ac:dyDescent="0.25">
      <c r="A26" s="4"/>
      <c r="B26" s="4"/>
      <c r="C26" s="23" t="s">
        <v>467</v>
      </c>
      <c r="D26" s="4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3.42578125" customWidth="1"/>
    <col min="2" max="2" width="10.5703125" customWidth="1"/>
    <col min="3" max="3" width="10.28515625" customWidth="1"/>
    <col min="4" max="4" width="10.7109375" customWidth="1"/>
    <col min="5" max="5" width="11.140625" customWidth="1"/>
    <col min="6" max="6" width="13.5703125" customWidth="1"/>
  </cols>
  <sheetData>
    <row r="1" spans="1:6" ht="23.25" customHeight="1" x14ac:dyDescent="0.35">
      <c r="A1" s="3" t="s">
        <v>469</v>
      </c>
      <c r="D1" s="4"/>
      <c r="E1" s="4"/>
      <c r="F1" s="4"/>
    </row>
    <row r="2" spans="1:6" ht="23.25" customHeight="1" x14ac:dyDescent="0.35">
      <c r="A2" s="3"/>
      <c r="D2" s="4"/>
      <c r="E2" s="4"/>
      <c r="F2" s="4"/>
    </row>
    <row r="3" spans="1:6" ht="23.25" customHeight="1" x14ac:dyDescent="0.25">
      <c r="A3" s="4"/>
      <c r="B3" s="53">
        <v>2004</v>
      </c>
      <c r="C3" s="53">
        <v>2007</v>
      </c>
      <c r="D3" s="53">
        <v>2010</v>
      </c>
      <c r="E3" s="53">
        <v>2012</v>
      </c>
      <c r="F3" s="53">
        <v>2014</v>
      </c>
    </row>
    <row r="4" spans="1:6" ht="15" customHeight="1" x14ac:dyDescent="0.25">
      <c r="A4" s="17" t="s">
        <v>19</v>
      </c>
      <c r="B4" s="54">
        <f>4.5/14.5</f>
        <v>0.31034482758620691</v>
      </c>
      <c r="C4" s="54">
        <f t="shared" ref="C4:C5" si="0">5.25/13.5</f>
        <v>0.3888888888888889</v>
      </c>
      <c r="D4" s="54">
        <f t="shared" ref="D4:D5" si="1">4/12</f>
        <v>0.33333333333333331</v>
      </c>
      <c r="E4" s="54"/>
      <c r="F4" s="54">
        <f>9.75/16.125</f>
        <v>0.60465116279069764</v>
      </c>
    </row>
    <row r="5" spans="1:6" ht="15" customHeight="1" x14ac:dyDescent="0.25">
      <c r="A5" s="17" t="s">
        <v>82</v>
      </c>
      <c r="B5" s="54">
        <f>5/14.5</f>
        <v>0.34482758620689657</v>
      </c>
      <c r="C5" s="54">
        <f t="shared" si="0"/>
        <v>0.3888888888888889</v>
      </c>
      <c r="D5" s="54">
        <f t="shared" si="1"/>
        <v>0.33333333333333331</v>
      </c>
      <c r="E5" s="54"/>
      <c r="F5" s="54"/>
    </row>
    <row r="6" spans="1:6" ht="15" customHeight="1" x14ac:dyDescent="0.25">
      <c r="A6" s="17" t="s">
        <v>157</v>
      </c>
      <c r="B6" s="54">
        <f>0.5/14.5</f>
        <v>3.4482758620689655E-2</v>
      </c>
      <c r="C6" s="54">
        <f>0.5/13.5</f>
        <v>3.7037037037037035E-2</v>
      </c>
      <c r="D6" s="54">
        <f>0.5/12</f>
        <v>4.1666666666666664E-2</v>
      </c>
      <c r="E6" s="54"/>
      <c r="F6" s="54">
        <f>0.5/16.125</f>
        <v>3.1007751937984496E-2</v>
      </c>
    </row>
    <row r="7" spans="1:6" ht="15" customHeight="1" x14ac:dyDescent="0.25">
      <c r="A7" s="17" t="s">
        <v>24</v>
      </c>
      <c r="B7" s="54">
        <f>3/14.5</f>
        <v>0.20689655172413793</v>
      </c>
      <c r="C7" s="54">
        <f>1/13.5</f>
        <v>7.407407407407407E-2</v>
      </c>
      <c r="D7" s="54">
        <f>2/12</f>
        <v>0.16666666666666666</v>
      </c>
      <c r="E7" s="54"/>
      <c r="F7" s="54">
        <f>4/16.125</f>
        <v>0.24806201550387597</v>
      </c>
    </row>
    <row r="8" spans="1:6" ht="15" customHeight="1" x14ac:dyDescent="0.25">
      <c r="A8" s="17" t="s">
        <v>123</v>
      </c>
      <c r="B8" s="54">
        <f t="shared" ref="B8:B10" si="2">0.5/14.5</f>
        <v>3.4482758620689655E-2</v>
      </c>
      <c r="C8" s="54">
        <f t="shared" ref="C8:C10" si="3">0.5/13.5</f>
        <v>3.7037037037037035E-2</v>
      </c>
      <c r="D8" s="54">
        <f t="shared" ref="D8:D10" si="4">0.5/12</f>
        <v>4.1666666666666664E-2</v>
      </c>
      <c r="E8" s="54"/>
      <c r="F8" s="54">
        <f>0.75/16.125</f>
        <v>4.6511627906976744E-2</v>
      </c>
    </row>
    <row r="9" spans="1:6" ht="15" customHeight="1" x14ac:dyDescent="0.25">
      <c r="A9" s="17" t="s">
        <v>250</v>
      </c>
      <c r="B9" s="54">
        <f t="shared" si="2"/>
        <v>3.4482758620689655E-2</v>
      </c>
      <c r="C9" s="54">
        <f t="shared" si="3"/>
        <v>3.7037037037037035E-2</v>
      </c>
      <c r="D9" s="54">
        <f t="shared" si="4"/>
        <v>4.1666666666666664E-2</v>
      </c>
      <c r="E9" s="54"/>
      <c r="F9" s="54">
        <f t="shared" ref="F9:F10" si="5">0.5/16.125</f>
        <v>3.1007751937984496E-2</v>
      </c>
    </row>
    <row r="10" spans="1:6" ht="15" customHeight="1" x14ac:dyDescent="0.25">
      <c r="A10" s="17" t="s">
        <v>38</v>
      </c>
      <c r="B10" s="54">
        <f t="shared" si="2"/>
        <v>3.4482758620689655E-2</v>
      </c>
      <c r="C10" s="54">
        <f t="shared" si="3"/>
        <v>3.7037037037037035E-2</v>
      </c>
      <c r="D10" s="54">
        <f t="shared" si="4"/>
        <v>4.1666666666666664E-2</v>
      </c>
      <c r="E10" s="54"/>
      <c r="F10" s="54">
        <f t="shared" si="5"/>
        <v>3.1007751937984496E-2</v>
      </c>
    </row>
    <row r="11" spans="1:6" ht="15" customHeight="1" x14ac:dyDescent="0.25">
      <c r="A11" s="17" t="s">
        <v>369</v>
      </c>
      <c r="B11" s="54"/>
      <c r="C11" s="54"/>
      <c r="D11" s="54"/>
      <c r="E11" s="54">
        <v>0.5</v>
      </c>
      <c r="F11" s="54"/>
    </row>
    <row r="12" spans="1:6" ht="15" customHeight="1" x14ac:dyDescent="0.25">
      <c r="A12" s="17" t="s">
        <v>496</v>
      </c>
      <c r="B12" s="54"/>
      <c r="C12" s="54"/>
      <c r="D12" s="54"/>
      <c r="E12" s="54">
        <v>0.5</v>
      </c>
      <c r="F12" s="54"/>
    </row>
    <row r="13" spans="1:6" ht="15" customHeight="1" x14ac:dyDescent="0.25">
      <c r="A13" s="17" t="s">
        <v>129</v>
      </c>
      <c r="B13" s="54"/>
      <c r="C13" s="54"/>
      <c r="D13" s="54"/>
      <c r="E13" s="54"/>
      <c r="F13" s="54">
        <f>0.125/16.125</f>
        <v>7.7519379844961239E-3</v>
      </c>
    </row>
    <row r="14" spans="1:6" ht="15" customHeight="1" x14ac:dyDescent="0.25">
      <c r="A14" s="27"/>
      <c r="B14" s="58"/>
      <c r="C14" s="58"/>
      <c r="D14" s="58"/>
      <c r="E14" s="58"/>
      <c r="F14" s="58"/>
    </row>
    <row r="15" spans="1:6" ht="15" customHeight="1" x14ac:dyDescent="0.25">
      <c r="A15" s="27"/>
      <c r="B15" s="58"/>
      <c r="C15" s="58"/>
      <c r="D15" s="58"/>
      <c r="E15" s="58"/>
      <c r="F15" s="58"/>
    </row>
    <row r="16" spans="1:6" ht="15" customHeight="1" x14ac:dyDescent="0.25">
      <c r="A16" s="17" t="s">
        <v>28</v>
      </c>
      <c r="B16" s="9"/>
      <c r="C16" s="9"/>
      <c r="D16" s="9"/>
      <c r="E16" s="9"/>
      <c r="F16" s="9"/>
    </row>
    <row r="17" spans="1:6" ht="15" customHeight="1" x14ac:dyDescent="0.25">
      <c r="A17" s="17" t="s">
        <v>96</v>
      </c>
      <c r="B17" s="19"/>
      <c r="C17" s="9"/>
      <c r="D17" s="9"/>
      <c r="E17" s="9"/>
      <c r="F17" s="9"/>
    </row>
    <row r="18" spans="1:6" ht="30" customHeight="1" x14ac:dyDescent="0.25">
      <c r="A18" s="18" t="s">
        <v>31</v>
      </c>
      <c r="B18" s="19" t="s">
        <v>195</v>
      </c>
      <c r="C18" s="19" t="s">
        <v>195</v>
      </c>
      <c r="D18" s="19" t="s">
        <v>195</v>
      </c>
      <c r="E18" s="19"/>
      <c r="F18" s="19" t="s">
        <v>195</v>
      </c>
    </row>
    <row r="19" spans="1:6" ht="15" customHeight="1" x14ac:dyDescent="0.25">
      <c r="A19" s="18" t="s">
        <v>39</v>
      </c>
      <c r="B19" s="19"/>
      <c r="C19" s="19"/>
      <c r="D19" s="19"/>
      <c r="E19" s="19"/>
      <c r="F19" s="19"/>
    </row>
    <row r="20" spans="1:6" ht="15" customHeight="1" x14ac:dyDescent="0.25">
      <c r="A20" s="18" t="s">
        <v>40</v>
      </c>
      <c r="B20" s="19"/>
      <c r="C20" s="19"/>
      <c r="D20" s="19"/>
      <c r="E20" s="19"/>
      <c r="F20" s="19"/>
    </row>
    <row r="21" spans="1:6" ht="15" customHeight="1" x14ac:dyDescent="0.25">
      <c r="A21" s="18" t="s">
        <v>41</v>
      </c>
      <c r="B21" s="19"/>
      <c r="C21" s="19"/>
      <c r="D21" s="19"/>
      <c r="E21" s="19" t="s">
        <v>36</v>
      </c>
      <c r="F21" s="19"/>
    </row>
    <row r="22" spans="1:6" ht="15" customHeight="1" x14ac:dyDescent="0.25">
      <c r="A22" s="18" t="s">
        <v>43</v>
      </c>
      <c r="B22" s="19"/>
      <c r="C22" s="19"/>
      <c r="D22" s="19"/>
      <c r="E22" s="19"/>
      <c r="F22" s="19"/>
    </row>
    <row r="23" spans="1:6" ht="15" customHeight="1" x14ac:dyDescent="0.25">
      <c r="A23" s="18" t="s">
        <v>44</v>
      </c>
      <c r="B23" s="19"/>
      <c r="C23" s="19"/>
      <c r="D23" s="19"/>
      <c r="E23" s="19"/>
      <c r="F23" s="19"/>
    </row>
    <row r="24" spans="1:6" ht="15" customHeight="1" x14ac:dyDescent="0.25">
      <c r="A24" s="18" t="s">
        <v>45</v>
      </c>
      <c r="B24" s="19"/>
      <c r="C24" s="19"/>
      <c r="D24" s="19"/>
      <c r="E24" s="19"/>
      <c r="F24" s="19"/>
    </row>
    <row r="25" spans="1:6" ht="15" customHeight="1" x14ac:dyDescent="0.25">
      <c r="A25" s="18" t="s">
        <v>52</v>
      </c>
      <c r="B25" s="19"/>
      <c r="C25" s="19"/>
      <c r="D25" s="19"/>
      <c r="E25" s="19"/>
      <c r="F25" s="19"/>
    </row>
    <row r="26" spans="1:6" ht="15" customHeight="1" x14ac:dyDescent="0.25">
      <c r="A26" s="58"/>
      <c r="D26" s="4"/>
      <c r="E26" s="4"/>
      <c r="F26" s="4"/>
    </row>
    <row r="27" spans="1:6" ht="15" customHeight="1" x14ac:dyDescent="0.25">
      <c r="A27" s="17" t="s">
        <v>53</v>
      </c>
      <c r="B27" s="9">
        <v>1.0609999999999999</v>
      </c>
      <c r="C27" s="24">
        <v>1.0569999999999999</v>
      </c>
      <c r="D27" s="9">
        <v>1.06</v>
      </c>
      <c r="E27" s="9">
        <v>1.0349999999999999</v>
      </c>
      <c r="F27" s="9">
        <v>1.07</v>
      </c>
    </row>
    <row r="28" spans="1:6" ht="15" customHeight="1" x14ac:dyDescent="0.25">
      <c r="A28" s="17" t="s">
        <v>55</v>
      </c>
      <c r="B28" s="24" t="s">
        <v>106</v>
      </c>
      <c r="C28" s="24" t="s">
        <v>106</v>
      </c>
      <c r="D28" s="9">
        <v>1.008</v>
      </c>
      <c r="E28" s="9">
        <v>1.01</v>
      </c>
      <c r="F28" s="9">
        <v>1.008</v>
      </c>
    </row>
    <row r="29" spans="1:6" ht="15" customHeight="1" x14ac:dyDescent="0.25">
      <c r="A29" s="17" t="s">
        <v>57</v>
      </c>
      <c r="B29" s="24">
        <v>154</v>
      </c>
      <c r="C29" s="24">
        <v>154</v>
      </c>
      <c r="D29" s="24">
        <v>158</v>
      </c>
      <c r="E29" s="24"/>
      <c r="F29" s="24">
        <v>152</v>
      </c>
    </row>
    <row r="30" spans="1:6" ht="15" customHeight="1" x14ac:dyDescent="0.25">
      <c r="A30" s="17" t="s">
        <v>58</v>
      </c>
      <c r="B30" s="68" t="s">
        <v>502</v>
      </c>
      <c r="C30" s="68" t="s">
        <v>502</v>
      </c>
      <c r="D30" s="24" t="s">
        <v>503</v>
      </c>
      <c r="E30" s="24" t="s">
        <v>504</v>
      </c>
      <c r="F30" s="24" t="s">
        <v>479</v>
      </c>
    </row>
    <row r="31" spans="1:6" ht="15" customHeight="1" x14ac:dyDescent="0.25">
      <c r="A31" s="4"/>
      <c r="D31" s="4"/>
      <c r="E31" s="4"/>
      <c r="F31" s="4"/>
    </row>
    <row r="32" spans="1:6" ht="150" customHeight="1" x14ac:dyDescent="0.25">
      <c r="A32" s="4"/>
      <c r="D32" s="4"/>
      <c r="E32" s="4"/>
      <c r="F32" s="23" t="s">
        <v>505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4.85546875" customWidth="1"/>
    <col min="2" max="3" width="13.5703125" customWidth="1"/>
    <col min="4" max="4" width="10.28515625" customWidth="1"/>
    <col min="5" max="5" width="9.5703125" customWidth="1"/>
    <col min="6" max="8" width="7.5703125" customWidth="1"/>
  </cols>
  <sheetData>
    <row r="1" spans="1:5" ht="23.25" customHeight="1" x14ac:dyDescent="0.35">
      <c r="A1" s="3" t="s">
        <v>468</v>
      </c>
      <c r="B1" s="3"/>
      <c r="C1" s="3"/>
    </row>
    <row r="2" spans="1:5" ht="23.25" customHeight="1" x14ac:dyDescent="0.35">
      <c r="A2" s="3"/>
      <c r="B2" s="3"/>
      <c r="C2" s="3"/>
    </row>
    <row r="3" spans="1:5" ht="23.25" customHeight="1" x14ac:dyDescent="0.25">
      <c r="A3" s="4"/>
      <c r="B3" s="52">
        <v>2001</v>
      </c>
      <c r="C3" s="52">
        <v>2002</v>
      </c>
      <c r="D3" s="53">
        <v>2005</v>
      </c>
      <c r="E3" s="53">
        <v>2006</v>
      </c>
    </row>
    <row r="4" spans="1:5" ht="15" customHeight="1" x14ac:dyDescent="0.25">
      <c r="A4" s="17" t="s">
        <v>19</v>
      </c>
      <c r="B4" s="54"/>
      <c r="C4" s="54"/>
      <c r="D4" s="54">
        <f>18/34</f>
        <v>0.52941176470588236</v>
      </c>
      <c r="E4" s="54">
        <f>16/30</f>
        <v>0.53333333333333333</v>
      </c>
    </row>
    <row r="5" spans="1:5" ht="15" customHeight="1" x14ac:dyDescent="0.25">
      <c r="A5" s="17" t="s">
        <v>470</v>
      </c>
      <c r="B5" s="54"/>
      <c r="C5" s="54"/>
      <c r="D5" s="54">
        <f>16/34</f>
        <v>0.47058823529411764</v>
      </c>
      <c r="E5" s="54">
        <f>14/30</f>
        <v>0.46666666666666667</v>
      </c>
    </row>
    <row r="6" spans="1:5" ht="15" customHeight="1" x14ac:dyDescent="0.25">
      <c r="A6" s="48" t="s">
        <v>14</v>
      </c>
      <c r="B6" s="54">
        <f>14/20</f>
        <v>0.7</v>
      </c>
      <c r="C6" s="54"/>
      <c r="D6" s="54"/>
      <c r="E6" s="54"/>
    </row>
    <row r="7" spans="1:5" ht="15" customHeight="1" x14ac:dyDescent="0.25">
      <c r="A7" s="48" t="s">
        <v>38</v>
      </c>
      <c r="B7" s="54">
        <f>6/20</f>
        <v>0.3</v>
      </c>
      <c r="C7" s="54"/>
      <c r="D7" s="54"/>
      <c r="E7" s="54"/>
    </row>
    <row r="8" spans="1:5" ht="15" customHeight="1" x14ac:dyDescent="0.25">
      <c r="A8" s="48" t="s">
        <v>112</v>
      </c>
      <c r="B8" s="54"/>
      <c r="C8" s="54">
        <f>4.75/7</f>
        <v>0.6785714285714286</v>
      </c>
      <c r="D8" s="54"/>
      <c r="E8" s="54"/>
    </row>
    <row r="9" spans="1:5" ht="15" customHeight="1" x14ac:dyDescent="0.25">
      <c r="A9" s="48" t="s">
        <v>384</v>
      </c>
      <c r="B9" s="54"/>
      <c r="C9" s="54">
        <f>2/7</f>
        <v>0.2857142857142857</v>
      </c>
      <c r="D9" s="54"/>
      <c r="E9" s="54"/>
    </row>
    <row r="10" spans="1:5" ht="15" customHeight="1" x14ac:dyDescent="0.25">
      <c r="A10" s="48" t="s">
        <v>313</v>
      </c>
      <c r="B10" s="54"/>
      <c r="C10" s="54">
        <f>0.25/7</f>
        <v>3.5714285714285712E-2</v>
      </c>
      <c r="D10" s="54"/>
      <c r="E10" s="54"/>
    </row>
    <row r="11" spans="1:5" ht="15" customHeight="1" x14ac:dyDescent="0.25">
      <c r="A11" s="27"/>
      <c r="B11" s="58"/>
      <c r="C11" s="58"/>
      <c r="D11" s="58"/>
      <c r="E11" s="58"/>
    </row>
    <row r="12" spans="1:5" ht="15" customHeight="1" x14ac:dyDescent="0.25">
      <c r="A12" s="27"/>
      <c r="B12" s="58"/>
      <c r="C12" s="58"/>
      <c r="D12" s="58"/>
      <c r="E12" s="58"/>
    </row>
    <row r="13" spans="1:5" ht="15" customHeight="1" x14ac:dyDescent="0.25">
      <c r="A13" s="17" t="s">
        <v>28</v>
      </c>
      <c r="B13" s="9"/>
      <c r="C13" s="9"/>
      <c r="D13" s="9"/>
      <c r="E13" s="9"/>
    </row>
    <row r="14" spans="1:5" ht="15" customHeight="1" x14ac:dyDescent="0.25">
      <c r="A14" s="17" t="s">
        <v>96</v>
      </c>
      <c r="B14" s="22" t="s">
        <v>195</v>
      </c>
      <c r="C14" s="19"/>
      <c r="D14" s="19"/>
      <c r="E14" s="9"/>
    </row>
    <row r="15" spans="1:5" ht="15" customHeight="1" x14ac:dyDescent="0.25">
      <c r="A15" s="18" t="s">
        <v>31</v>
      </c>
      <c r="B15" s="19"/>
      <c r="C15" s="22" t="s">
        <v>475</v>
      </c>
      <c r="D15" s="19" t="s">
        <v>475</v>
      </c>
      <c r="E15" s="19" t="s">
        <v>475</v>
      </c>
    </row>
    <row r="16" spans="1:5" ht="15" customHeight="1" x14ac:dyDescent="0.25">
      <c r="A16" s="18" t="s">
        <v>39</v>
      </c>
      <c r="B16" s="19"/>
      <c r="C16" s="19"/>
      <c r="D16" s="19"/>
      <c r="E16" s="19"/>
    </row>
    <row r="17" spans="1:5" ht="15" customHeight="1" x14ac:dyDescent="0.25">
      <c r="A17" s="18" t="s">
        <v>40</v>
      </c>
      <c r="B17" s="19"/>
      <c r="C17" s="19"/>
      <c r="D17" s="19" t="s">
        <v>475</v>
      </c>
      <c r="E17" s="19"/>
    </row>
    <row r="18" spans="1:5" ht="15" customHeight="1" x14ac:dyDescent="0.25">
      <c r="A18" s="18" t="s">
        <v>41</v>
      </c>
      <c r="B18" s="19"/>
      <c r="C18" s="19"/>
      <c r="D18" s="19"/>
      <c r="E18" s="19"/>
    </row>
    <row r="19" spans="1:5" ht="15" customHeight="1" x14ac:dyDescent="0.25">
      <c r="A19" s="18" t="s">
        <v>43</v>
      </c>
      <c r="B19" s="19"/>
      <c r="C19" s="19"/>
      <c r="D19" s="19"/>
      <c r="E19" s="19"/>
    </row>
    <row r="20" spans="1:5" ht="15" customHeight="1" x14ac:dyDescent="0.25">
      <c r="A20" s="18" t="s">
        <v>44</v>
      </c>
      <c r="B20" s="19"/>
      <c r="C20" s="19"/>
      <c r="D20" s="19"/>
      <c r="E20" s="19"/>
    </row>
    <row r="21" spans="1:5" ht="15" customHeight="1" x14ac:dyDescent="0.25">
      <c r="A21" s="18" t="s">
        <v>45</v>
      </c>
      <c r="B21" s="19"/>
      <c r="C21" s="19"/>
      <c r="D21" s="19"/>
      <c r="E21" s="19"/>
    </row>
    <row r="22" spans="1:5" ht="15" customHeight="1" x14ac:dyDescent="0.25">
      <c r="A22" s="18" t="s">
        <v>52</v>
      </c>
      <c r="B22" s="19"/>
      <c r="C22" s="19"/>
      <c r="D22" s="19"/>
      <c r="E22" s="19"/>
    </row>
    <row r="23" spans="1:5" ht="15" customHeight="1" x14ac:dyDescent="0.25">
      <c r="A23" s="58"/>
    </row>
    <row r="24" spans="1:5" ht="15" customHeight="1" x14ac:dyDescent="0.25">
      <c r="A24" s="17" t="s">
        <v>53</v>
      </c>
      <c r="B24" s="20">
        <v>1.052</v>
      </c>
      <c r="C24" s="20">
        <v>1.054</v>
      </c>
      <c r="D24" s="9">
        <v>1.0549999999999999</v>
      </c>
      <c r="E24" s="24">
        <v>1.05</v>
      </c>
    </row>
    <row r="25" spans="1:5" ht="15" customHeight="1" x14ac:dyDescent="0.25">
      <c r="A25" s="17" t="s">
        <v>55</v>
      </c>
      <c r="B25" s="25">
        <v>1.0049999999999999</v>
      </c>
      <c r="C25" s="25">
        <v>1.006</v>
      </c>
      <c r="D25" s="24">
        <v>1.0149999999999999</v>
      </c>
      <c r="E25" s="24">
        <v>1.01</v>
      </c>
    </row>
    <row r="26" spans="1:5" ht="15" customHeight="1" x14ac:dyDescent="0.25">
      <c r="A26" s="17" t="s">
        <v>57</v>
      </c>
      <c r="B26" s="25" t="s">
        <v>478</v>
      </c>
      <c r="C26" s="25">
        <v>155</v>
      </c>
      <c r="D26" s="24">
        <v>150</v>
      </c>
      <c r="E26" s="24">
        <v>151</v>
      </c>
    </row>
    <row r="27" spans="1:5" ht="15" customHeight="1" x14ac:dyDescent="0.25">
      <c r="A27" s="17" t="s">
        <v>58</v>
      </c>
      <c r="B27" s="67" t="s">
        <v>479</v>
      </c>
      <c r="C27" s="67">
        <v>3278</v>
      </c>
      <c r="D27" s="68">
        <v>1056</v>
      </c>
      <c r="E27" s="68" t="s">
        <v>482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5.42578125" customWidth="1"/>
    <col min="2" max="2" width="11.85546875" customWidth="1"/>
    <col min="3" max="3" width="10.85546875" customWidth="1"/>
    <col min="4" max="4" width="16.28515625" customWidth="1"/>
    <col min="5" max="6" width="7.5703125" customWidth="1"/>
  </cols>
  <sheetData>
    <row r="1" spans="1:4" ht="23.25" customHeight="1" x14ac:dyDescent="0.35">
      <c r="A1" s="3" t="s">
        <v>494</v>
      </c>
      <c r="B1" s="4"/>
    </row>
    <row r="2" spans="1:4" ht="23.25" customHeight="1" x14ac:dyDescent="0.35">
      <c r="A2" s="3"/>
      <c r="B2" s="4"/>
    </row>
    <row r="3" spans="1:4" ht="23.25" customHeight="1" x14ac:dyDescent="0.25">
      <c r="A3" s="4"/>
      <c r="B3" s="53">
        <v>2011</v>
      </c>
      <c r="C3" s="52">
        <v>2015</v>
      </c>
      <c r="D3" s="52">
        <v>2016</v>
      </c>
    </row>
    <row r="4" spans="1:4" ht="15" customHeight="1" x14ac:dyDescent="0.25">
      <c r="A4" s="17" t="s">
        <v>19</v>
      </c>
      <c r="B4" s="54" t="s">
        <v>495</v>
      </c>
      <c r="C4" s="56">
        <v>0.49399999999999999</v>
      </c>
      <c r="D4" s="56">
        <f>6.6/7.93</f>
        <v>0.83228247162673386</v>
      </c>
    </row>
    <row r="5" spans="1:4" ht="15" customHeight="1" x14ac:dyDescent="0.25">
      <c r="A5" s="17" t="s">
        <v>38</v>
      </c>
      <c r="B5" s="54" t="s">
        <v>497</v>
      </c>
      <c r="C5" s="56">
        <v>0.253</v>
      </c>
      <c r="D5" s="56"/>
    </row>
    <row r="6" spans="1:4" ht="15" customHeight="1" x14ac:dyDescent="0.25">
      <c r="A6" s="48" t="s">
        <v>498</v>
      </c>
      <c r="B6" s="54"/>
      <c r="C6" s="56">
        <v>0.253</v>
      </c>
      <c r="D6" s="56"/>
    </row>
    <row r="7" spans="1:4" ht="15" customHeight="1" x14ac:dyDescent="0.25">
      <c r="A7" s="48" t="s">
        <v>384</v>
      </c>
      <c r="B7" s="54"/>
      <c r="C7" s="56"/>
      <c r="D7" s="56">
        <f>1/7.93</f>
        <v>0.12610340479192939</v>
      </c>
    </row>
    <row r="8" spans="1:4" ht="15" customHeight="1" x14ac:dyDescent="0.25">
      <c r="A8" s="48" t="s">
        <v>388</v>
      </c>
      <c r="B8" s="54"/>
      <c r="C8" s="56"/>
      <c r="D8" s="56">
        <f>0.33/7.93</f>
        <v>4.1614123581336697E-2</v>
      </c>
    </row>
    <row r="9" spans="1:4" ht="15" customHeight="1" x14ac:dyDescent="0.25">
      <c r="A9" s="27"/>
      <c r="B9" s="58"/>
      <c r="C9" s="58"/>
      <c r="D9" s="58"/>
    </row>
    <row r="10" spans="1:4" ht="9" customHeight="1" x14ac:dyDescent="0.25">
      <c r="A10" s="17" t="s">
        <v>28</v>
      </c>
      <c r="B10" s="9"/>
      <c r="C10" s="9"/>
      <c r="D10" s="9"/>
    </row>
    <row r="11" spans="1:4" ht="15" customHeight="1" x14ac:dyDescent="0.25">
      <c r="A11" s="17" t="s">
        <v>96</v>
      </c>
      <c r="B11" s="19"/>
      <c r="C11" s="19"/>
      <c r="D11" s="19"/>
    </row>
    <row r="12" spans="1:4" ht="30" customHeight="1" x14ac:dyDescent="0.25">
      <c r="A12" s="18" t="s">
        <v>31</v>
      </c>
      <c r="B12" s="19" t="s">
        <v>500</v>
      </c>
      <c r="C12" s="22" t="s">
        <v>501</v>
      </c>
      <c r="D12" s="22" t="s">
        <v>195</v>
      </c>
    </row>
    <row r="13" spans="1:4" ht="15" customHeight="1" x14ac:dyDescent="0.25">
      <c r="A13" s="18" t="s">
        <v>39</v>
      </c>
      <c r="B13" s="19"/>
      <c r="C13" s="19"/>
      <c r="D13" s="19"/>
    </row>
    <row r="14" spans="1:4" ht="15" customHeight="1" x14ac:dyDescent="0.25">
      <c r="A14" s="18" t="s">
        <v>40</v>
      </c>
      <c r="B14" s="19"/>
      <c r="C14" s="19"/>
      <c r="D14" s="19"/>
    </row>
    <row r="15" spans="1:4" ht="15" customHeight="1" x14ac:dyDescent="0.25">
      <c r="A15" s="18" t="s">
        <v>41</v>
      </c>
      <c r="B15" s="19"/>
      <c r="C15" s="19"/>
      <c r="D15" s="19"/>
    </row>
    <row r="16" spans="1:4" ht="15" customHeight="1" x14ac:dyDescent="0.25">
      <c r="A16" s="18" t="s">
        <v>43</v>
      </c>
      <c r="B16" s="19"/>
      <c r="C16" s="19"/>
      <c r="D16" s="19"/>
    </row>
    <row r="17" spans="1:4" ht="15" customHeight="1" x14ac:dyDescent="0.25">
      <c r="A17" s="18" t="s">
        <v>44</v>
      </c>
      <c r="B17" s="19"/>
      <c r="C17" s="19"/>
      <c r="D17" s="19"/>
    </row>
    <row r="18" spans="1:4" ht="15" customHeight="1" x14ac:dyDescent="0.25">
      <c r="A18" s="18" t="s">
        <v>45</v>
      </c>
      <c r="B18" s="19"/>
      <c r="C18" s="19"/>
      <c r="D18" s="19"/>
    </row>
    <row r="19" spans="1:4" ht="15" customHeight="1" x14ac:dyDescent="0.25">
      <c r="A19" s="18" t="s">
        <v>52</v>
      </c>
      <c r="B19" s="19"/>
      <c r="C19" s="19"/>
      <c r="D19" s="19"/>
    </row>
    <row r="20" spans="1:4" ht="15" customHeight="1" x14ac:dyDescent="0.25">
      <c r="A20" s="58"/>
      <c r="B20" s="4"/>
      <c r="C20" s="4"/>
      <c r="D20" s="4"/>
    </row>
    <row r="21" spans="1:4" ht="15" customHeight="1" x14ac:dyDescent="0.25">
      <c r="A21" s="17" t="s">
        <v>53</v>
      </c>
      <c r="B21" s="9">
        <v>1.0549999999999999</v>
      </c>
      <c r="C21" s="20">
        <v>1.052</v>
      </c>
      <c r="D21" s="20">
        <v>1.052</v>
      </c>
    </row>
    <row r="22" spans="1:4" ht="15" customHeight="1" x14ac:dyDescent="0.25">
      <c r="A22" s="17" t="s">
        <v>55</v>
      </c>
      <c r="B22" s="24" t="s">
        <v>106</v>
      </c>
      <c r="C22" s="25" t="s">
        <v>106</v>
      </c>
      <c r="D22" s="25">
        <v>1.002</v>
      </c>
    </row>
    <row r="23" spans="1:4" ht="45" customHeight="1" x14ac:dyDescent="0.25">
      <c r="A23" s="17" t="s">
        <v>57</v>
      </c>
      <c r="B23" s="68" t="s">
        <v>506</v>
      </c>
      <c r="C23" s="67">
        <v>152</v>
      </c>
      <c r="D23" s="67">
        <v>158</v>
      </c>
    </row>
    <row r="24" spans="1:4" ht="45" customHeight="1" x14ac:dyDescent="0.25">
      <c r="A24" s="17" t="s">
        <v>58</v>
      </c>
      <c r="B24" s="68" t="s">
        <v>507</v>
      </c>
      <c r="C24" s="67">
        <v>3278</v>
      </c>
      <c r="D24" s="67">
        <v>1318</v>
      </c>
    </row>
    <row r="25" spans="1:4" ht="45" customHeight="1" x14ac:dyDescent="0.25">
      <c r="A25" s="48" t="s">
        <v>413</v>
      </c>
      <c r="B25" s="70"/>
      <c r="C25" s="71"/>
      <c r="D25" s="72" t="str">
        <f>HYPERLINK("www.browneandbitter.com/2015/10/autumn-2015-blending-pale-sours.html","Blend of 4 pale sour beers.  3 made with above recipe + lactobacillus. More info here")</f>
        <v>Blend of 4 pale sour beers.  3 made with above recipe + lactobacillus. More info here</v>
      </c>
    </row>
  </sheetData>
  <hyperlinks>
    <hyperlink ref="D25" r:id="rId1" display="http://www.browneandbitter.com/2015/10/autumn-2015-blending-pale-sours.html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3.85546875" customWidth="1"/>
    <col min="2" max="2" width="12.7109375" customWidth="1"/>
    <col min="3" max="3" width="16.85546875" customWidth="1"/>
    <col min="4" max="4" width="10.7109375" customWidth="1"/>
    <col min="5" max="5" width="11" customWidth="1"/>
    <col min="6" max="8" width="7.5703125" customWidth="1"/>
  </cols>
  <sheetData>
    <row r="1" spans="1:6" ht="23.25" customHeight="1" x14ac:dyDescent="0.35">
      <c r="A1" s="3" t="s">
        <v>81</v>
      </c>
      <c r="B1" s="3"/>
      <c r="C1" s="3"/>
      <c r="E1" s="4"/>
    </row>
    <row r="2" spans="1:6" ht="15" customHeight="1" x14ac:dyDescent="0.25">
      <c r="A2" s="4"/>
      <c r="B2" s="4"/>
      <c r="C2" s="4"/>
      <c r="E2" s="4"/>
    </row>
    <row r="3" spans="1:6" ht="23.25" customHeight="1" x14ac:dyDescent="0.35">
      <c r="A3" s="4"/>
      <c r="B3" s="5">
        <v>2001</v>
      </c>
      <c r="C3" s="5">
        <v>2002</v>
      </c>
      <c r="D3" s="7">
        <v>2010</v>
      </c>
      <c r="E3" s="7">
        <v>2014</v>
      </c>
      <c r="F3" s="11"/>
    </row>
    <row r="4" spans="1:6" ht="15" customHeight="1" x14ac:dyDescent="0.25">
      <c r="A4" s="8" t="s">
        <v>19</v>
      </c>
      <c r="B4" s="10"/>
      <c r="C4" s="10">
        <f>9.5/11.5</f>
        <v>0.82608695652173914</v>
      </c>
      <c r="D4" s="10">
        <f>20/21.25</f>
        <v>0.94117647058823528</v>
      </c>
      <c r="E4" s="10">
        <f>5/8.5</f>
        <v>0.58823529411764708</v>
      </c>
      <c r="F4" s="13"/>
    </row>
    <row r="5" spans="1:6" ht="15" customHeight="1" x14ac:dyDescent="0.25">
      <c r="A5" s="8" t="s">
        <v>82</v>
      </c>
      <c r="B5" s="10"/>
      <c r="C5" s="10"/>
      <c r="D5" s="10">
        <f>1/21.25</f>
        <v>4.7058823529411764E-2</v>
      </c>
      <c r="E5" s="10">
        <f>1.5/8.5</f>
        <v>0.17647058823529413</v>
      </c>
      <c r="F5" s="13"/>
    </row>
    <row r="6" spans="1:6" ht="15" customHeight="1" x14ac:dyDescent="0.25">
      <c r="A6" s="8" t="s">
        <v>38</v>
      </c>
      <c r="B6" s="10"/>
      <c r="C6" s="10"/>
      <c r="D6" s="10">
        <f t="shared" ref="D6:D7" si="0">0.25/21.25</f>
        <v>1.1764705882352941E-2</v>
      </c>
      <c r="E6" s="10">
        <f>0.5/8.5</f>
        <v>5.8823529411764705E-2</v>
      </c>
      <c r="F6" s="13"/>
    </row>
    <row r="7" spans="1:6" ht="15" customHeight="1" x14ac:dyDescent="0.25">
      <c r="A7" s="8" t="s">
        <v>14</v>
      </c>
      <c r="B7" s="10"/>
      <c r="C7" s="10"/>
      <c r="D7" s="10">
        <f t="shared" si="0"/>
        <v>1.1764705882352941E-2</v>
      </c>
      <c r="E7" s="10">
        <f>1.5/8.5</f>
        <v>0.17647058823529413</v>
      </c>
      <c r="F7" s="13"/>
    </row>
    <row r="8" spans="1:6" ht="15" customHeight="1" x14ac:dyDescent="0.25">
      <c r="A8" s="16" t="s">
        <v>83</v>
      </c>
      <c r="B8" s="10">
        <f>13.5/17</f>
        <v>0.79411764705882348</v>
      </c>
      <c r="C8" s="10"/>
      <c r="D8" s="10"/>
      <c r="E8" s="10"/>
      <c r="F8" s="13"/>
    </row>
    <row r="9" spans="1:6" ht="15" customHeight="1" x14ac:dyDescent="0.25">
      <c r="A9" s="16" t="s">
        <v>24</v>
      </c>
      <c r="B9" s="10">
        <f>2.5/17</f>
        <v>0.14705882352941177</v>
      </c>
      <c r="C9" s="10">
        <f>0.5/11.5</f>
        <v>4.3478260869565216E-2</v>
      </c>
      <c r="D9" s="10"/>
      <c r="E9" s="10"/>
      <c r="F9" s="13"/>
    </row>
    <row r="10" spans="1:6" ht="15" customHeight="1" x14ac:dyDescent="0.25">
      <c r="A10" s="16" t="s">
        <v>17</v>
      </c>
      <c r="B10" s="10">
        <f>1/17</f>
        <v>5.8823529411764705E-2</v>
      </c>
      <c r="C10" s="10"/>
      <c r="D10" s="10"/>
      <c r="E10" s="10"/>
      <c r="F10" s="13"/>
    </row>
    <row r="11" spans="1:6" ht="15" customHeight="1" x14ac:dyDescent="0.25">
      <c r="A11" s="16" t="s">
        <v>21</v>
      </c>
      <c r="B11" s="10"/>
      <c r="C11" s="10">
        <f>1.5/11.5</f>
        <v>0.13043478260869565</v>
      </c>
      <c r="D11" s="10"/>
      <c r="E11" s="10"/>
      <c r="F11" s="13"/>
    </row>
    <row r="12" spans="1:6" ht="15" customHeight="1" x14ac:dyDescent="0.25">
      <c r="A12" s="35"/>
      <c r="B12" s="13"/>
      <c r="C12" s="13"/>
      <c r="D12" s="13"/>
      <c r="E12" s="13"/>
      <c r="F12" s="13"/>
    </row>
    <row r="13" spans="1:6" ht="15" customHeight="1" x14ac:dyDescent="0.25">
      <c r="A13" s="4"/>
      <c r="E13" s="4"/>
      <c r="F13" s="15"/>
    </row>
    <row r="14" spans="1:6" ht="15" customHeight="1" x14ac:dyDescent="0.25">
      <c r="A14" s="17" t="s">
        <v>28</v>
      </c>
      <c r="B14" s="9"/>
      <c r="C14" s="9"/>
      <c r="D14" s="9"/>
      <c r="E14" s="9"/>
      <c r="F14" s="15"/>
    </row>
    <row r="15" spans="1:6" ht="15" customHeight="1" x14ac:dyDescent="0.25">
      <c r="A15" s="18" t="s">
        <v>31</v>
      </c>
      <c r="B15" s="22" t="s">
        <v>49</v>
      </c>
      <c r="C15" s="22" t="s">
        <v>36</v>
      </c>
      <c r="D15" s="19" t="s">
        <v>51</v>
      </c>
      <c r="E15" s="19" t="s">
        <v>42</v>
      </c>
      <c r="F15" s="15"/>
    </row>
    <row r="16" spans="1:6" ht="15" customHeight="1" x14ac:dyDescent="0.25">
      <c r="A16" s="18" t="s">
        <v>39</v>
      </c>
      <c r="B16" s="9"/>
      <c r="C16" s="9"/>
      <c r="D16" s="9"/>
      <c r="E16" s="9"/>
      <c r="F16" s="23"/>
    </row>
    <row r="17" spans="1:6" ht="15" customHeight="1" x14ac:dyDescent="0.25">
      <c r="A17" s="18" t="s">
        <v>40</v>
      </c>
      <c r="B17" s="20" t="s">
        <v>36</v>
      </c>
      <c r="C17" s="20" t="s">
        <v>49</v>
      </c>
      <c r="D17" s="9"/>
      <c r="E17" s="9"/>
      <c r="F17" s="23"/>
    </row>
    <row r="18" spans="1:6" ht="15" customHeight="1" x14ac:dyDescent="0.25">
      <c r="A18" s="18" t="s">
        <v>85</v>
      </c>
      <c r="B18" s="9"/>
      <c r="C18" s="9"/>
      <c r="D18" s="9"/>
      <c r="E18" s="9" t="s">
        <v>42</v>
      </c>
      <c r="F18" s="23"/>
    </row>
    <row r="19" spans="1:6" ht="15" customHeight="1" x14ac:dyDescent="0.25">
      <c r="A19" s="18" t="s">
        <v>41</v>
      </c>
      <c r="B19" s="9"/>
      <c r="C19" s="20" t="s">
        <v>49</v>
      </c>
      <c r="D19" s="9" t="s">
        <v>86</v>
      </c>
      <c r="E19" s="9"/>
      <c r="F19" s="23"/>
    </row>
    <row r="20" spans="1:6" ht="15" customHeight="1" x14ac:dyDescent="0.25">
      <c r="A20" s="18" t="s">
        <v>43</v>
      </c>
      <c r="B20" s="9"/>
      <c r="C20" s="9"/>
      <c r="D20" s="9"/>
      <c r="E20" s="9" t="s">
        <v>87</v>
      </c>
      <c r="F20" s="23"/>
    </row>
    <row r="21" spans="1:6" ht="15" customHeight="1" x14ac:dyDescent="0.25">
      <c r="A21" s="18" t="s">
        <v>44</v>
      </c>
      <c r="B21" s="20" t="s">
        <v>49</v>
      </c>
      <c r="C21" s="9"/>
      <c r="D21" s="9"/>
      <c r="E21" s="9" t="s">
        <v>88</v>
      </c>
      <c r="F21" s="23"/>
    </row>
    <row r="22" spans="1:6" ht="28.5" customHeight="1" x14ac:dyDescent="0.25">
      <c r="A22" s="18" t="s">
        <v>45</v>
      </c>
      <c r="B22" s="20" t="s">
        <v>36</v>
      </c>
      <c r="C22" s="22" t="s">
        <v>89</v>
      </c>
      <c r="D22" s="9"/>
      <c r="E22" s="9"/>
      <c r="F22" s="23"/>
    </row>
    <row r="23" spans="1:6" ht="15" customHeight="1" x14ac:dyDescent="0.25">
      <c r="A23" s="18" t="s">
        <v>52</v>
      </c>
      <c r="B23" s="9"/>
      <c r="C23" s="9"/>
      <c r="D23" s="9"/>
      <c r="E23" s="9"/>
      <c r="F23" s="23"/>
    </row>
    <row r="24" spans="1:6" ht="15" customHeight="1" x14ac:dyDescent="0.25">
      <c r="A24" s="4"/>
      <c r="E24" s="4"/>
      <c r="F24" s="15"/>
    </row>
    <row r="25" spans="1:6" ht="15" customHeight="1" x14ac:dyDescent="0.25">
      <c r="A25" s="17" t="s">
        <v>53</v>
      </c>
      <c r="B25" s="20">
        <v>1.0580000000000001</v>
      </c>
      <c r="C25" s="20">
        <v>1.052</v>
      </c>
      <c r="D25" s="9">
        <v>1.048</v>
      </c>
      <c r="E25" s="9">
        <v>1.0529999999999999</v>
      </c>
      <c r="F25" s="15"/>
    </row>
    <row r="26" spans="1:6" ht="15" customHeight="1" x14ac:dyDescent="0.25">
      <c r="A26" s="17" t="s">
        <v>55</v>
      </c>
      <c r="B26" s="20">
        <v>1.0129999999999999</v>
      </c>
      <c r="C26" s="20">
        <v>1.0129999999999999</v>
      </c>
      <c r="D26" s="9">
        <v>1.0109999999999999</v>
      </c>
      <c r="E26" s="9">
        <v>1.014</v>
      </c>
      <c r="F26" s="15"/>
    </row>
    <row r="27" spans="1:6" ht="15" customHeight="1" x14ac:dyDescent="0.25">
      <c r="A27" s="17" t="s">
        <v>57</v>
      </c>
      <c r="B27" s="36" t="s">
        <v>90</v>
      </c>
      <c r="C27" s="37" t="s">
        <v>91</v>
      </c>
      <c r="D27" s="33">
        <v>148</v>
      </c>
      <c r="E27" s="33">
        <v>149</v>
      </c>
      <c r="F27" s="15"/>
    </row>
    <row r="28" spans="1:6" ht="15" customHeight="1" x14ac:dyDescent="0.25">
      <c r="A28" s="17" t="s">
        <v>58</v>
      </c>
      <c r="B28" s="20">
        <v>2206</v>
      </c>
      <c r="C28" s="20">
        <v>2308</v>
      </c>
      <c r="D28" s="9">
        <v>830</v>
      </c>
      <c r="E28" s="9">
        <v>815</v>
      </c>
      <c r="F28" s="26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4.28515625" customWidth="1"/>
    <col min="2" max="2" width="14.5703125" customWidth="1"/>
    <col min="3" max="3" width="14.42578125" customWidth="1"/>
    <col min="4" max="4" width="10.5703125" customWidth="1"/>
    <col min="5" max="5" width="12" customWidth="1"/>
    <col min="6" max="8" width="7.5703125" customWidth="1"/>
  </cols>
  <sheetData>
    <row r="1" spans="1:5" ht="23.25" customHeight="1" x14ac:dyDescent="0.35">
      <c r="A1" s="3" t="s">
        <v>499</v>
      </c>
      <c r="B1" s="3"/>
      <c r="C1" s="3"/>
    </row>
    <row r="2" spans="1:5" ht="23.25" customHeight="1" x14ac:dyDescent="0.35">
      <c r="A2" s="3"/>
      <c r="B2" s="3"/>
      <c r="C2" s="3"/>
    </row>
    <row r="3" spans="1:5" ht="23.25" customHeight="1" x14ac:dyDescent="0.25">
      <c r="A3" s="4"/>
      <c r="B3" s="52">
        <v>2000</v>
      </c>
      <c r="C3" s="52">
        <v>2003</v>
      </c>
      <c r="D3" s="53">
        <v>2009</v>
      </c>
      <c r="E3" s="53">
        <v>2013</v>
      </c>
    </row>
    <row r="4" spans="1:5" ht="15" customHeight="1" x14ac:dyDescent="0.25">
      <c r="A4" s="17" t="s">
        <v>318</v>
      </c>
      <c r="B4" s="54"/>
      <c r="C4" s="54"/>
      <c r="D4" s="54">
        <f>7/11</f>
        <v>0.63636363636363635</v>
      </c>
      <c r="E4" s="54">
        <v>0.7</v>
      </c>
    </row>
    <row r="5" spans="1:5" ht="15" customHeight="1" x14ac:dyDescent="0.25">
      <c r="A5" s="17" t="s">
        <v>126</v>
      </c>
      <c r="B5" s="54"/>
      <c r="C5" s="54"/>
      <c r="D5" s="54">
        <f>3/11</f>
        <v>0.27272727272727271</v>
      </c>
      <c r="E5" s="54"/>
    </row>
    <row r="6" spans="1:5" ht="15" customHeight="1" x14ac:dyDescent="0.25">
      <c r="A6" s="17" t="s">
        <v>384</v>
      </c>
      <c r="B6" s="54">
        <f>4/11</f>
        <v>0.36363636363636365</v>
      </c>
      <c r="C6" s="54"/>
      <c r="D6" s="54">
        <f>1/11</f>
        <v>9.0909090909090912E-2</v>
      </c>
      <c r="E6" s="54"/>
    </row>
    <row r="7" spans="1:5" ht="15" customHeight="1" x14ac:dyDescent="0.25">
      <c r="A7" s="17" t="s">
        <v>92</v>
      </c>
      <c r="B7" s="54"/>
      <c r="C7" s="54"/>
      <c r="D7" s="54"/>
      <c r="E7" s="54">
        <v>0.1</v>
      </c>
    </row>
    <row r="8" spans="1:5" ht="15" customHeight="1" x14ac:dyDescent="0.25">
      <c r="A8" s="17" t="s">
        <v>109</v>
      </c>
      <c r="B8" s="54"/>
      <c r="C8" s="54"/>
      <c r="D8" s="54"/>
      <c r="E8" s="54">
        <v>0.1</v>
      </c>
    </row>
    <row r="9" spans="1:5" ht="15" customHeight="1" x14ac:dyDescent="0.25">
      <c r="A9" s="17" t="s">
        <v>508</v>
      </c>
      <c r="B9" s="54"/>
      <c r="C9" s="54"/>
      <c r="D9" s="54"/>
      <c r="E9" s="54">
        <v>0.1</v>
      </c>
    </row>
    <row r="10" spans="1:5" ht="15" customHeight="1" x14ac:dyDescent="0.25">
      <c r="A10" s="48" t="s">
        <v>19</v>
      </c>
      <c r="B10" s="54">
        <f>6/11</f>
        <v>0.54545454545454541</v>
      </c>
      <c r="C10" s="54">
        <f>8.75/12</f>
        <v>0.72916666666666663</v>
      </c>
      <c r="D10" s="54"/>
      <c r="E10" s="54"/>
    </row>
    <row r="11" spans="1:5" ht="15" customHeight="1" x14ac:dyDescent="0.25">
      <c r="A11" s="48" t="s">
        <v>34</v>
      </c>
      <c r="B11" s="54">
        <f>1/11</f>
        <v>9.0909090909090912E-2</v>
      </c>
      <c r="C11" s="54"/>
      <c r="D11" s="54"/>
      <c r="E11" s="54"/>
    </row>
    <row r="12" spans="1:5" ht="15" customHeight="1" x14ac:dyDescent="0.25">
      <c r="A12" s="48" t="s">
        <v>38</v>
      </c>
      <c r="B12" s="54"/>
      <c r="C12" s="54">
        <f>3/12</f>
        <v>0.25</v>
      </c>
      <c r="D12" s="54"/>
      <c r="E12" s="54"/>
    </row>
    <row r="13" spans="1:5" ht="15" customHeight="1" x14ac:dyDescent="0.25">
      <c r="A13" s="48" t="s">
        <v>511</v>
      </c>
      <c r="B13" s="54"/>
      <c r="C13" s="54">
        <f>0.25/12</f>
        <v>2.0833333333333332E-2</v>
      </c>
      <c r="D13" s="54"/>
      <c r="E13" s="54"/>
    </row>
    <row r="14" spans="1:5" ht="15" customHeight="1" x14ac:dyDescent="0.25">
      <c r="A14" s="27"/>
      <c r="B14" s="58"/>
      <c r="C14" s="58"/>
      <c r="D14" s="58"/>
      <c r="E14" s="58"/>
    </row>
    <row r="15" spans="1:5" ht="15" customHeight="1" x14ac:dyDescent="0.25">
      <c r="A15" s="27"/>
      <c r="B15" s="58"/>
      <c r="C15" s="58"/>
      <c r="D15" s="58"/>
      <c r="E15" s="58"/>
    </row>
    <row r="16" spans="1:5" ht="15" customHeight="1" x14ac:dyDescent="0.25">
      <c r="A16" s="17" t="s">
        <v>28</v>
      </c>
      <c r="B16" s="9"/>
      <c r="C16" s="9"/>
      <c r="D16" s="9"/>
      <c r="E16" s="9"/>
    </row>
    <row r="17" spans="1:5" ht="15" customHeight="1" x14ac:dyDescent="0.25">
      <c r="A17" s="17" t="s">
        <v>96</v>
      </c>
      <c r="B17" s="22" t="s">
        <v>241</v>
      </c>
      <c r="C17" s="22" t="s">
        <v>42</v>
      </c>
      <c r="D17" s="19"/>
      <c r="E17" s="9"/>
    </row>
    <row r="18" spans="1:5" ht="15" customHeight="1" x14ac:dyDescent="0.25">
      <c r="A18" s="18" t="s">
        <v>31</v>
      </c>
      <c r="B18" s="19"/>
      <c r="C18" s="19"/>
      <c r="D18" s="19" t="s">
        <v>86</v>
      </c>
      <c r="E18" s="19"/>
    </row>
    <row r="19" spans="1:5" ht="15" customHeight="1" x14ac:dyDescent="0.25">
      <c r="A19" s="18" t="s">
        <v>39</v>
      </c>
      <c r="B19" s="19"/>
      <c r="C19" s="19"/>
      <c r="D19" s="19"/>
      <c r="E19" s="19"/>
    </row>
    <row r="20" spans="1:5" ht="15" customHeight="1" x14ac:dyDescent="0.25">
      <c r="A20" s="18" t="s">
        <v>40</v>
      </c>
      <c r="B20" s="19"/>
      <c r="C20" s="19"/>
      <c r="D20" s="19"/>
      <c r="E20" s="19"/>
    </row>
    <row r="21" spans="1:5" ht="15" customHeight="1" x14ac:dyDescent="0.25">
      <c r="A21" s="18" t="s">
        <v>41</v>
      </c>
      <c r="B21" s="19"/>
      <c r="C21" s="19"/>
      <c r="D21" s="19"/>
      <c r="E21" s="19"/>
    </row>
    <row r="22" spans="1:5" ht="15" customHeight="1" x14ac:dyDescent="0.25">
      <c r="A22" s="18" t="s">
        <v>43</v>
      </c>
      <c r="B22" s="19"/>
      <c r="C22" s="19"/>
      <c r="D22" s="19"/>
      <c r="E22" s="19"/>
    </row>
    <row r="23" spans="1:5" ht="15" customHeight="1" x14ac:dyDescent="0.25">
      <c r="A23" s="18" t="s">
        <v>44</v>
      </c>
      <c r="B23" s="19"/>
      <c r="C23" s="19"/>
      <c r="D23" s="19"/>
      <c r="E23" s="19"/>
    </row>
    <row r="24" spans="1:5" ht="15" customHeight="1" x14ac:dyDescent="0.25">
      <c r="A24" s="18" t="s">
        <v>45</v>
      </c>
      <c r="B24" s="19"/>
      <c r="C24" s="19"/>
      <c r="D24" s="19"/>
      <c r="E24" s="19"/>
    </row>
    <row r="25" spans="1:5" ht="15" customHeight="1" x14ac:dyDescent="0.25">
      <c r="A25" s="18" t="s">
        <v>52</v>
      </c>
      <c r="B25" s="19"/>
      <c r="C25" s="19"/>
      <c r="D25" s="19"/>
      <c r="E25" s="19"/>
    </row>
    <row r="26" spans="1:5" ht="15" customHeight="1" x14ac:dyDescent="0.25">
      <c r="A26" s="58"/>
    </row>
    <row r="27" spans="1:5" ht="15" customHeight="1" x14ac:dyDescent="0.25">
      <c r="A27" s="17" t="s">
        <v>53</v>
      </c>
      <c r="B27" s="20">
        <v>1.054</v>
      </c>
      <c r="C27" s="20">
        <v>1.0629999999999999</v>
      </c>
      <c r="D27" s="9">
        <v>1.06</v>
      </c>
      <c r="E27" s="24">
        <v>1.05</v>
      </c>
    </row>
    <row r="28" spans="1:5" ht="15" customHeight="1" x14ac:dyDescent="0.25">
      <c r="A28" s="17" t="s">
        <v>55</v>
      </c>
      <c r="B28" s="25">
        <v>1.002</v>
      </c>
      <c r="C28" s="25">
        <v>1.012</v>
      </c>
      <c r="D28" s="24">
        <v>1.01</v>
      </c>
      <c r="E28" s="24">
        <v>1.002</v>
      </c>
    </row>
    <row r="29" spans="1:5" ht="15" customHeight="1" x14ac:dyDescent="0.25">
      <c r="A29" s="17" t="s">
        <v>57</v>
      </c>
      <c r="B29" s="25">
        <v>150</v>
      </c>
      <c r="C29" s="25" t="s">
        <v>515</v>
      </c>
      <c r="D29" s="24" t="s">
        <v>106</v>
      </c>
      <c r="E29" s="24">
        <v>148</v>
      </c>
    </row>
    <row r="30" spans="1:5" ht="15" customHeight="1" x14ac:dyDescent="0.25">
      <c r="A30" s="17" t="s">
        <v>58</v>
      </c>
      <c r="B30" s="67">
        <v>1056</v>
      </c>
      <c r="C30" s="67" t="s">
        <v>516</v>
      </c>
      <c r="D30" s="68">
        <v>3278</v>
      </c>
      <c r="E30" s="68">
        <v>5526</v>
      </c>
    </row>
    <row r="31" spans="1:5" ht="15" customHeight="1" x14ac:dyDescent="0.25">
      <c r="A31" s="4"/>
    </row>
    <row r="32" spans="1:5" ht="73.5" customHeight="1" x14ac:dyDescent="0.25">
      <c r="A32" s="4"/>
      <c r="B32" s="40" t="s">
        <v>517</v>
      </c>
      <c r="C32" s="40" t="s">
        <v>518</v>
      </c>
      <c r="D32" s="23" t="s">
        <v>519</v>
      </c>
      <c r="E32" s="23" t="s">
        <v>520</v>
      </c>
    </row>
    <row r="33" spans="1:4" ht="73.5" customHeight="1" x14ac:dyDescent="0.25">
      <c r="A33" s="4"/>
      <c r="B33" s="4"/>
      <c r="C33" s="4"/>
      <c r="D33" s="69" t="s">
        <v>522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5.28515625" customWidth="1"/>
    <col min="2" max="2" width="11.7109375" customWidth="1"/>
    <col min="3" max="3" width="11.140625" customWidth="1"/>
    <col min="4" max="6" width="7.5703125" customWidth="1"/>
  </cols>
  <sheetData>
    <row r="1" spans="1:3" ht="23.25" customHeight="1" x14ac:dyDescent="0.35">
      <c r="A1" s="3" t="s">
        <v>509</v>
      </c>
      <c r="B1" s="4"/>
      <c r="C1" s="4"/>
    </row>
    <row r="2" spans="1:3" ht="23.25" customHeight="1" x14ac:dyDescent="0.35">
      <c r="A2" s="3"/>
      <c r="B2" s="4"/>
      <c r="C2" s="4"/>
    </row>
    <row r="3" spans="1:3" ht="23.25" customHeight="1" x14ac:dyDescent="0.25">
      <c r="A3" s="4"/>
      <c r="B3" s="53">
        <v>2010</v>
      </c>
      <c r="C3" s="53">
        <v>2014</v>
      </c>
    </row>
    <row r="4" spans="1:3" ht="15" customHeight="1" x14ac:dyDescent="0.25">
      <c r="A4" s="17" t="s">
        <v>19</v>
      </c>
      <c r="B4" s="54">
        <f>25/29</f>
        <v>0.86206896551724133</v>
      </c>
      <c r="C4" s="54">
        <f>10.5/13.25</f>
        <v>0.79245283018867929</v>
      </c>
    </row>
    <row r="5" spans="1:3" ht="15" customHeight="1" x14ac:dyDescent="0.25">
      <c r="A5" s="17" t="s">
        <v>192</v>
      </c>
      <c r="B5" s="54">
        <f>3/29</f>
        <v>0.10344827586206896</v>
      </c>
      <c r="C5" s="54">
        <f>1/13.25</f>
        <v>7.5471698113207544E-2</v>
      </c>
    </row>
    <row r="6" spans="1:3" ht="15" customHeight="1" x14ac:dyDescent="0.25">
      <c r="A6" s="17" t="s">
        <v>157</v>
      </c>
      <c r="B6" s="54">
        <f>1/29</f>
        <v>3.4482758620689655E-2</v>
      </c>
      <c r="C6" s="54"/>
    </row>
    <row r="7" spans="1:3" ht="15" customHeight="1" x14ac:dyDescent="0.25">
      <c r="A7" s="17" t="s">
        <v>510</v>
      </c>
      <c r="B7" s="54"/>
      <c r="C7" s="54">
        <f t="shared" ref="C7:C9" si="0">0.5/13.25</f>
        <v>3.7735849056603772E-2</v>
      </c>
    </row>
    <row r="8" spans="1:3" ht="15" customHeight="1" x14ac:dyDescent="0.25">
      <c r="A8" s="17" t="s">
        <v>38</v>
      </c>
      <c r="B8" s="54"/>
      <c r="C8" s="54">
        <f t="shared" si="0"/>
        <v>3.7735849056603772E-2</v>
      </c>
    </row>
    <row r="9" spans="1:3" ht="15" customHeight="1" x14ac:dyDescent="0.25">
      <c r="A9" s="17" t="s">
        <v>384</v>
      </c>
      <c r="B9" s="54"/>
      <c r="C9" s="54">
        <f t="shared" si="0"/>
        <v>3.7735849056603772E-2</v>
      </c>
    </row>
    <row r="10" spans="1:3" ht="15" customHeight="1" x14ac:dyDescent="0.25">
      <c r="A10" s="17" t="s">
        <v>471</v>
      </c>
      <c r="B10" s="54"/>
      <c r="C10" s="54">
        <f>0.25/13.25</f>
        <v>1.8867924528301886E-2</v>
      </c>
    </row>
    <row r="11" spans="1:3" ht="15" customHeight="1" x14ac:dyDescent="0.25">
      <c r="A11" s="27"/>
      <c r="B11" s="58"/>
      <c r="C11" s="58"/>
    </row>
    <row r="12" spans="1:3" ht="15" customHeight="1" x14ac:dyDescent="0.25">
      <c r="A12" s="17" t="s">
        <v>28</v>
      </c>
      <c r="B12" s="9"/>
      <c r="C12" s="9" t="s">
        <v>49</v>
      </c>
    </row>
    <row r="13" spans="1:3" ht="15" customHeight="1" x14ac:dyDescent="0.25">
      <c r="A13" s="17" t="s">
        <v>96</v>
      </c>
      <c r="B13" s="19"/>
      <c r="C13" s="19"/>
    </row>
    <row r="14" spans="1:3" ht="15" customHeight="1" x14ac:dyDescent="0.25">
      <c r="A14" s="18" t="s">
        <v>31</v>
      </c>
      <c r="B14" s="19" t="s">
        <v>36</v>
      </c>
      <c r="C14" s="19"/>
    </row>
    <row r="15" spans="1:3" ht="15" customHeight="1" x14ac:dyDescent="0.25">
      <c r="A15" s="18" t="s">
        <v>39</v>
      </c>
      <c r="B15" s="19"/>
      <c r="C15" s="19"/>
    </row>
    <row r="16" spans="1:3" ht="15" customHeight="1" x14ac:dyDescent="0.25">
      <c r="A16" s="18" t="s">
        <v>40</v>
      </c>
      <c r="B16" s="19"/>
      <c r="C16" s="19" t="s">
        <v>42</v>
      </c>
    </row>
    <row r="17" spans="1:3" ht="15" customHeight="1" x14ac:dyDescent="0.25">
      <c r="A17" s="18">
        <v>3020</v>
      </c>
      <c r="B17" s="19"/>
      <c r="C17" s="19" t="s">
        <v>42</v>
      </c>
    </row>
    <row r="18" spans="1:3" ht="15" customHeight="1" x14ac:dyDescent="0.25">
      <c r="A18" s="18" t="s">
        <v>41</v>
      </c>
      <c r="B18" s="19"/>
      <c r="C18" s="19"/>
    </row>
    <row r="19" spans="1:3" ht="15" customHeight="1" x14ac:dyDescent="0.25">
      <c r="A19" s="18" t="s">
        <v>43</v>
      </c>
      <c r="B19" s="19"/>
      <c r="C19" s="19"/>
    </row>
    <row r="20" spans="1:3" ht="15" customHeight="1" x14ac:dyDescent="0.25">
      <c r="A20" s="18" t="s">
        <v>44</v>
      </c>
      <c r="B20" s="19"/>
      <c r="C20" s="19"/>
    </row>
    <row r="21" spans="1:3" ht="15" customHeight="1" x14ac:dyDescent="0.25">
      <c r="A21" s="18" t="s">
        <v>45</v>
      </c>
      <c r="B21" s="19"/>
      <c r="C21" s="19"/>
    </row>
    <row r="22" spans="1:3" ht="15" customHeight="1" x14ac:dyDescent="0.25">
      <c r="A22" s="18" t="s">
        <v>52</v>
      </c>
      <c r="B22" s="19"/>
      <c r="C22" s="19"/>
    </row>
    <row r="23" spans="1:3" ht="15" customHeight="1" x14ac:dyDescent="0.25">
      <c r="A23" s="58"/>
      <c r="B23" s="4"/>
      <c r="C23" s="4"/>
    </row>
    <row r="24" spans="1:3" ht="15" customHeight="1" x14ac:dyDescent="0.25">
      <c r="A24" s="17" t="s">
        <v>53</v>
      </c>
      <c r="B24" s="9">
        <v>1.087</v>
      </c>
      <c r="C24" s="9">
        <v>1.0649999999999999</v>
      </c>
    </row>
    <row r="25" spans="1:3" ht="15" customHeight="1" x14ac:dyDescent="0.25">
      <c r="A25" s="17" t="s">
        <v>55</v>
      </c>
      <c r="B25" s="24">
        <v>1.012</v>
      </c>
      <c r="C25" s="24">
        <v>1.04</v>
      </c>
    </row>
    <row r="26" spans="1:3" ht="15" customHeight="1" x14ac:dyDescent="0.25">
      <c r="A26" s="17" t="s">
        <v>57</v>
      </c>
      <c r="B26" s="24">
        <v>150</v>
      </c>
      <c r="C26" s="24">
        <v>150</v>
      </c>
    </row>
    <row r="27" spans="1:3" ht="15" customHeight="1" x14ac:dyDescent="0.25">
      <c r="A27" s="17" t="s">
        <v>58</v>
      </c>
      <c r="B27" s="68">
        <v>500</v>
      </c>
      <c r="C27" s="68">
        <v>500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5" customWidth="1"/>
    <col min="2" max="2" width="12.42578125" customWidth="1"/>
    <col min="3" max="3" width="12" customWidth="1"/>
    <col min="4" max="7" width="7.5703125" customWidth="1"/>
  </cols>
  <sheetData>
    <row r="1" spans="1:3" ht="23.25" customHeight="1" x14ac:dyDescent="0.35">
      <c r="A1" s="3" t="s">
        <v>512</v>
      </c>
      <c r="B1" s="3"/>
    </row>
    <row r="2" spans="1:3" ht="23.25" customHeight="1" x14ac:dyDescent="0.35">
      <c r="A2" s="3"/>
      <c r="B2" s="3"/>
    </row>
    <row r="3" spans="1:3" ht="23.25" customHeight="1" x14ac:dyDescent="0.25">
      <c r="A3" s="4"/>
      <c r="B3" s="52">
        <v>2003</v>
      </c>
      <c r="C3" s="53">
        <v>2009</v>
      </c>
    </row>
    <row r="4" spans="1:3" ht="15" customHeight="1" x14ac:dyDescent="0.25">
      <c r="A4" s="17" t="s">
        <v>318</v>
      </c>
      <c r="B4" s="54"/>
      <c r="C4" s="54">
        <v>0.66</v>
      </c>
    </row>
    <row r="5" spans="1:3" ht="15" customHeight="1" x14ac:dyDescent="0.25">
      <c r="A5" s="17" t="s">
        <v>513</v>
      </c>
      <c r="B5" s="54"/>
      <c r="C5" s="54">
        <v>0.2</v>
      </c>
    </row>
    <row r="6" spans="1:3" ht="15" customHeight="1" x14ac:dyDescent="0.25">
      <c r="A6" s="17" t="s">
        <v>514</v>
      </c>
      <c r="B6" s="54">
        <f>0.75/13.4</f>
        <v>5.5970149253731345E-2</v>
      </c>
      <c r="C6" s="54">
        <v>0.1</v>
      </c>
    </row>
    <row r="7" spans="1:3" ht="15" customHeight="1" x14ac:dyDescent="0.25">
      <c r="A7" s="17" t="s">
        <v>290</v>
      </c>
      <c r="B7" s="54"/>
      <c r="C7" s="54">
        <v>0.04</v>
      </c>
    </row>
    <row r="8" spans="1:3" ht="15" customHeight="1" x14ac:dyDescent="0.25">
      <c r="A8" s="48" t="s">
        <v>112</v>
      </c>
      <c r="B8" s="54">
        <f>12/13.4</f>
        <v>0.89552238805970152</v>
      </c>
      <c r="C8" s="54"/>
    </row>
    <row r="9" spans="1:3" ht="15" customHeight="1" x14ac:dyDescent="0.25">
      <c r="A9" s="48" t="s">
        <v>72</v>
      </c>
      <c r="B9" s="54">
        <f>0.5/13.4</f>
        <v>3.7313432835820892E-2</v>
      </c>
      <c r="C9" s="54"/>
    </row>
    <row r="10" spans="1:3" ht="15" customHeight="1" x14ac:dyDescent="0.25">
      <c r="A10" s="48" t="s">
        <v>523</v>
      </c>
      <c r="B10" s="54">
        <f>0.15/13.4</f>
        <v>1.1194029850746268E-2</v>
      </c>
      <c r="C10" s="54"/>
    </row>
    <row r="11" spans="1:3" ht="15" customHeight="1" x14ac:dyDescent="0.25">
      <c r="A11" s="27"/>
      <c r="B11" s="58"/>
      <c r="C11" s="58"/>
    </row>
    <row r="12" spans="1:3" ht="15" customHeight="1" x14ac:dyDescent="0.25">
      <c r="A12" s="27"/>
      <c r="B12" s="58"/>
      <c r="C12" s="58"/>
    </row>
    <row r="13" spans="1:3" ht="15" customHeight="1" x14ac:dyDescent="0.25">
      <c r="A13" s="17" t="s">
        <v>28</v>
      </c>
      <c r="B13" s="9"/>
      <c r="C13" s="9"/>
    </row>
    <row r="14" spans="1:3" ht="15" customHeight="1" x14ac:dyDescent="0.25">
      <c r="A14" s="17" t="s">
        <v>96</v>
      </c>
      <c r="B14" s="19"/>
      <c r="C14" s="19"/>
    </row>
    <row r="15" spans="1:3" ht="15" customHeight="1" x14ac:dyDescent="0.25">
      <c r="A15" s="18" t="s">
        <v>31</v>
      </c>
      <c r="B15" s="22" t="s">
        <v>86</v>
      </c>
      <c r="C15" s="19" t="s">
        <v>206</v>
      </c>
    </row>
    <row r="16" spans="1:3" ht="15" customHeight="1" x14ac:dyDescent="0.25">
      <c r="A16" s="18" t="s">
        <v>39</v>
      </c>
      <c r="B16" s="19"/>
      <c r="C16" s="19"/>
    </row>
    <row r="17" spans="1:3" ht="15" customHeight="1" x14ac:dyDescent="0.25">
      <c r="A17" s="18" t="s">
        <v>40</v>
      </c>
      <c r="B17" s="19"/>
      <c r="C17" s="19"/>
    </row>
    <row r="18" spans="1:3" ht="15" customHeight="1" x14ac:dyDescent="0.25">
      <c r="A18" s="18" t="s">
        <v>41</v>
      </c>
      <c r="B18" s="19"/>
      <c r="C18" s="19"/>
    </row>
    <row r="19" spans="1:3" ht="15" customHeight="1" x14ac:dyDescent="0.25">
      <c r="A19" s="18" t="s">
        <v>43</v>
      </c>
      <c r="B19" s="19"/>
      <c r="C19" s="19"/>
    </row>
    <row r="20" spans="1:3" ht="15" customHeight="1" x14ac:dyDescent="0.25">
      <c r="A20" s="18" t="s">
        <v>44</v>
      </c>
      <c r="B20" s="19"/>
      <c r="C20" s="19" t="s">
        <v>206</v>
      </c>
    </row>
    <row r="21" spans="1:3" ht="15" customHeight="1" x14ac:dyDescent="0.25">
      <c r="A21" s="18" t="s">
        <v>45</v>
      </c>
      <c r="B21" s="19"/>
      <c r="C21" s="19"/>
    </row>
    <row r="22" spans="1:3" ht="15" customHeight="1" x14ac:dyDescent="0.25">
      <c r="A22" s="18" t="s">
        <v>52</v>
      </c>
      <c r="B22" s="19"/>
      <c r="C22" s="19"/>
    </row>
    <row r="23" spans="1:3" ht="15" customHeight="1" x14ac:dyDescent="0.25">
      <c r="A23" s="58"/>
    </row>
    <row r="24" spans="1:3" ht="15" customHeight="1" x14ac:dyDescent="0.25">
      <c r="A24" s="17" t="s">
        <v>53</v>
      </c>
      <c r="B24" s="20">
        <v>1.071</v>
      </c>
      <c r="C24" s="9">
        <v>1.0680000000000001</v>
      </c>
    </row>
    <row r="25" spans="1:3" ht="15" customHeight="1" x14ac:dyDescent="0.25">
      <c r="A25" s="17" t="s">
        <v>55</v>
      </c>
      <c r="B25" s="25">
        <v>1.022</v>
      </c>
      <c r="C25" s="24">
        <v>1.012</v>
      </c>
    </row>
    <row r="26" spans="1:3" ht="15" customHeight="1" x14ac:dyDescent="0.25">
      <c r="A26" s="17" t="s">
        <v>57</v>
      </c>
      <c r="B26" s="25">
        <v>151</v>
      </c>
      <c r="C26" s="24" t="s">
        <v>106</v>
      </c>
    </row>
    <row r="27" spans="1:3" ht="15" customHeight="1" x14ac:dyDescent="0.25">
      <c r="A27" s="17" t="s">
        <v>58</v>
      </c>
      <c r="B27" s="67">
        <v>500</v>
      </c>
      <c r="C27" s="68">
        <v>1214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7.42578125" customWidth="1"/>
    <col min="2" max="2" width="16.7109375" customWidth="1"/>
    <col min="3" max="3" width="11.5703125" customWidth="1"/>
    <col min="4" max="4" width="11.85546875" customWidth="1"/>
    <col min="5" max="5" width="11.42578125" customWidth="1"/>
    <col min="6" max="6" width="10.7109375" customWidth="1"/>
    <col min="7" max="7" width="7.5703125" customWidth="1"/>
  </cols>
  <sheetData>
    <row r="1" spans="1:6" ht="23.25" customHeight="1" x14ac:dyDescent="0.35">
      <c r="A1" s="3" t="s">
        <v>521</v>
      </c>
      <c r="B1" s="3"/>
      <c r="C1" s="4"/>
      <c r="E1" s="4"/>
    </row>
    <row r="2" spans="1:6" ht="23.25" customHeight="1" x14ac:dyDescent="0.35">
      <c r="A2" s="3"/>
      <c r="B2" s="3"/>
      <c r="C2" s="4"/>
      <c r="E2" s="4"/>
    </row>
    <row r="3" spans="1:6" ht="23.25" customHeight="1" x14ac:dyDescent="0.25">
      <c r="A3" s="4"/>
      <c r="B3" s="52">
        <v>2002</v>
      </c>
      <c r="C3" s="53">
        <v>2004</v>
      </c>
      <c r="D3" s="53">
        <v>2008</v>
      </c>
      <c r="E3" s="53">
        <v>2013</v>
      </c>
      <c r="F3" s="52">
        <v>2015</v>
      </c>
    </row>
    <row r="4" spans="1:6" ht="15" customHeight="1" x14ac:dyDescent="0.25">
      <c r="A4" s="17" t="s">
        <v>19</v>
      </c>
      <c r="B4" s="54">
        <f>17/20</f>
        <v>0.85</v>
      </c>
      <c r="C4" s="54">
        <f>12.9/17.15</f>
        <v>0.75218658892128287</v>
      </c>
      <c r="D4" s="54">
        <f>27/30.75</f>
        <v>0.87804878048780488</v>
      </c>
      <c r="E4" s="54">
        <f>11.75/14.26</f>
        <v>0.82398316970546981</v>
      </c>
      <c r="F4" s="56">
        <v>0.82199999999999995</v>
      </c>
    </row>
    <row r="5" spans="1:6" ht="15" customHeight="1" x14ac:dyDescent="0.25">
      <c r="A5" s="17" t="s">
        <v>524</v>
      </c>
      <c r="B5" s="54"/>
      <c r="C5" s="54">
        <f>2/17.15</f>
        <v>0.11661807580174928</v>
      </c>
      <c r="D5" s="54"/>
      <c r="E5" s="54">
        <f>1.75/14.26</f>
        <v>0.12272089761570827</v>
      </c>
      <c r="F5" s="54"/>
    </row>
    <row r="6" spans="1:6" ht="15" customHeight="1" x14ac:dyDescent="0.25">
      <c r="A6" s="17" t="s">
        <v>471</v>
      </c>
      <c r="B6" s="54"/>
      <c r="C6" s="54">
        <f>0.6/17.15</f>
        <v>3.4985422740524783E-2</v>
      </c>
      <c r="D6" s="54"/>
      <c r="E6" s="54">
        <f>0.25/14.26</f>
        <v>1.7531556802244039E-2</v>
      </c>
      <c r="F6" s="54"/>
    </row>
    <row r="7" spans="1:6" ht="15" customHeight="1" x14ac:dyDescent="0.25">
      <c r="A7" s="17" t="s">
        <v>118</v>
      </c>
      <c r="B7" s="54"/>
      <c r="C7" s="54">
        <f>0.75/17.15</f>
        <v>4.3731778425655982E-2</v>
      </c>
      <c r="D7" s="54"/>
      <c r="E7" s="54"/>
      <c r="F7" s="54"/>
    </row>
    <row r="8" spans="1:6" ht="15" customHeight="1" x14ac:dyDescent="0.25">
      <c r="A8" s="17" t="s">
        <v>38</v>
      </c>
      <c r="B8" s="54"/>
      <c r="C8" s="54">
        <f>0.9/17.15</f>
        <v>5.2478134110787181E-2</v>
      </c>
      <c r="D8" s="54"/>
      <c r="E8" s="54"/>
      <c r="F8" s="56">
        <v>6.8000000000000005E-2</v>
      </c>
    </row>
    <row r="9" spans="1:6" ht="15" customHeight="1" x14ac:dyDescent="0.25">
      <c r="A9" s="17" t="s">
        <v>526</v>
      </c>
      <c r="B9" s="54"/>
      <c r="C9" s="54"/>
      <c r="D9" s="54">
        <f>3.75/30.75</f>
        <v>0.12195121951219512</v>
      </c>
      <c r="E9" s="54"/>
      <c r="F9" s="54"/>
    </row>
    <row r="10" spans="1:6" ht="15" customHeight="1" x14ac:dyDescent="0.25">
      <c r="A10" s="17" t="s">
        <v>72</v>
      </c>
      <c r="B10" s="54"/>
      <c r="C10" s="54">
        <f>0.75/17.15</f>
        <v>4.3731778425655982E-2</v>
      </c>
      <c r="D10" s="54"/>
      <c r="E10" s="54">
        <f t="shared" ref="E10:E11" si="0">0.13/14.26</f>
        <v>9.1164095371669002E-3</v>
      </c>
      <c r="F10" s="54"/>
    </row>
    <row r="11" spans="1:6" ht="15" customHeight="1" x14ac:dyDescent="0.25">
      <c r="A11" s="17" t="s">
        <v>157</v>
      </c>
      <c r="B11" s="54"/>
      <c r="C11" s="54">
        <f>0.9/17.15</f>
        <v>5.2478134110787181E-2</v>
      </c>
      <c r="D11" s="54"/>
      <c r="E11" s="54">
        <f t="shared" si="0"/>
        <v>9.1164095371669002E-3</v>
      </c>
      <c r="F11" s="54"/>
    </row>
    <row r="12" spans="1:6" ht="15" customHeight="1" x14ac:dyDescent="0.25">
      <c r="A12" s="17" t="s">
        <v>528</v>
      </c>
      <c r="B12" s="54"/>
      <c r="C12" s="54"/>
      <c r="D12" s="54">
        <f>3.75/30.75</f>
        <v>0.12195121951219512</v>
      </c>
      <c r="E12" s="54">
        <f>0.25/14.26</f>
        <v>1.7531556802244039E-2</v>
      </c>
      <c r="F12" s="54"/>
    </row>
    <row r="13" spans="1:6" ht="15" customHeight="1" x14ac:dyDescent="0.25">
      <c r="A13" s="48" t="s">
        <v>34</v>
      </c>
      <c r="B13" s="54">
        <f>1/20</f>
        <v>0.05</v>
      </c>
      <c r="C13" s="54"/>
      <c r="D13" s="54"/>
      <c r="E13" s="54"/>
      <c r="F13" s="54"/>
    </row>
    <row r="14" spans="1:6" ht="15" customHeight="1" x14ac:dyDescent="0.25">
      <c r="A14" s="48" t="s">
        <v>456</v>
      </c>
      <c r="B14" s="54">
        <f>2/20</f>
        <v>0.1</v>
      </c>
      <c r="C14" s="54"/>
      <c r="D14" s="54"/>
      <c r="E14" s="54"/>
      <c r="F14" s="56">
        <v>2.7E-2</v>
      </c>
    </row>
    <row r="15" spans="1:6" ht="15" customHeight="1" x14ac:dyDescent="0.25">
      <c r="A15" s="48" t="s">
        <v>530</v>
      </c>
      <c r="B15" s="54"/>
      <c r="C15" s="54"/>
      <c r="D15" s="54"/>
      <c r="E15" s="54"/>
      <c r="F15" s="56">
        <v>8.2000000000000003E-2</v>
      </c>
    </row>
    <row r="16" spans="1:6" ht="15" customHeight="1" x14ac:dyDescent="0.25">
      <c r="A16" s="27"/>
      <c r="B16" s="58"/>
      <c r="C16" s="58"/>
      <c r="D16" s="58"/>
      <c r="E16" s="58"/>
      <c r="F16" s="58"/>
    </row>
    <row r="17" spans="1:6" ht="31.5" customHeight="1" x14ac:dyDescent="0.25">
      <c r="A17" s="17" t="s">
        <v>28</v>
      </c>
      <c r="B17" s="9"/>
      <c r="C17" s="9"/>
      <c r="D17" s="9"/>
      <c r="E17" s="9"/>
      <c r="F17" s="46" t="s">
        <v>195</v>
      </c>
    </row>
    <row r="18" spans="1:6" ht="30" customHeight="1" x14ac:dyDescent="0.25">
      <c r="A18" s="17" t="s">
        <v>96</v>
      </c>
      <c r="B18" s="19"/>
      <c r="C18" s="19"/>
      <c r="D18" s="19" t="s">
        <v>133</v>
      </c>
      <c r="E18" s="19"/>
      <c r="F18" s="19"/>
    </row>
    <row r="19" spans="1:6" ht="29.25" customHeight="1" x14ac:dyDescent="0.25">
      <c r="A19" s="18" t="s">
        <v>31</v>
      </c>
      <c r="B19" s="19"/>
      <c r="C19" s="19" t="s">
        <v>170</v>
      </c>
      <c r="D19" s="19"/>
      <c r="E19" s="19" t="s">
        <v>49</v>
      </c>
      <c r="F19" s="22" t="s">
        <v>42</v>
      </c>
    </row>
    <row r="20" spans="1:6" ht="15" customHeight="1" x14ac:dyDescent="0.25">
      <c r="A20" s="18" t="s">
        <v>39</v>
      </c>
      <c r="B20" s="19"/>
      <c r="C20" s="19"/>
      <c r="D20" s="19"/>
      <c r="E20" s="19"/>
      <c r="F20" s="22" t="s">
        <v>401</v>
      </c>
    </row>
    <row r="21" spans="1:6" ht="30" customHeight="1" x14ac:dyDescent="0.25">
      <c r="A21" s="18" t="s">
        <v>40</v>
      </c>
      <c r="B21" s="22" t="s">
        <v>531</v>
      </c>
      <c r="C21" s="19"/>
      <c r="D21" s="19" t="s">
        <v>42</v>
      </c>
      <c r="E21" s="19"/>
      <c r="F21" s="19"/>
    </row>
    <row r="22" spans="1:6" ht="30" customHeight="1" x14ac:dyDescent="0.25">
      <c r="A22" s="18" t="s">
        <v>41</v>
      </c>
      <c r="B22" s="22" t="s">
        <v>532</v>
      </c>
      <c r="C22" s="19" t="s">
        <v>42</v>
      </c>
      <c r="D22" s="19"/>
      <c r="E22" s="19" t="s">
        <v>48</v>
      </c>
      <c r="F22" s="22" t="s">
        <v>195</v>
      </c>
    </row>
    <row r="23" spans="1:6" ht="15" customHeight="1" x14ac:dyDescent="0.25">
      <c r="A23" s="18" t="s">
        <v>43</v>
      </c>
      <c r="B23" s="19"/>
      <c r="C23" s="19"/>
      <c r="D23" s="19"/>
      <c r="E23" s="19"/>
      <c r="F23" s="19"/>
    </row>
    <row r="24" spans="1:6" ht="15" customHeight="1" x14ac:dyDescent="0.25">
      <c r="A24" s="18" t="s">
        <v>44</v>
      </c>
      <c r="B24" s="19"/>
      <c r="C24" s="19" t="s">
        <v>49</v>
      </c>
      <c r="D24" s="19"/>
      <c r="E24" s="19"/>
      <c r="F24" s="19"/>
    </row>
    <row r="25" spans="1:6" ht="15" customHeight="1" x14ac:dyDescent="0.25">
      <c r="A25" s="18" t="s">
        <v>45</v>
      </c>
      <c r="B25" s="19"/>
      <c r="C25" s="19"/>
      <c r="D25" s="19" t="s">
        <v>42</v>
      </c>
      <c r="E25" s="19" t="s">
        <v>42</v>
      </c>
      <c r="F25" s="19"/>
    </row>
    <row r="26" spans="1:6" ht="15" customHeight="1" x14ac:dyDescent="0.25">
      <c r="A26" s="18" t="s">
        <v>52</v>
      </c>
      <c r="B26" s="19"/>
      <c r="C26" s="19"/>
      <c r="D26" s="19"/>
      <c r="E26" s="19"/>
      <c r="F26" s="19"/>
    </row>
    <row r="27" spans="1:6" ht="15" customHeight="1" x14ac:dyDescent="0.25">
      <c r="A27" s="58"/>
      <c r="B27" s="4"/>
      <c r="C27" s="4"/>
      <c r="E27" s="4"/>
      <c r="F27" s="4"/>
    </row>
    <row r="28" spans="1:6" ht="15" customHeight="1" x14ac:dyDescent="0.25">
      <c r="A28" s="17" t="s">
        <v>53</v>
      </c>
      <c r="B28" s="20">
        <v>1.0840000000000001</v>
      </c>
      <c r="C28" s="9">
        <v>1.085</v>
      </c>
      <c r="D28" s="9">
        <v>1.0760000000000001</v>
      </c>
      <c r="E28" s="9">
        <v>1.079</v>
      </c>
      <c r="F28" s="20">
        <v>1.0820000000000001</v>
      </c>
    </row>
    <row r="29" spans="1:6" ht="15" customHeight="1" x14ac:dyDescent="0.25">
      <c r="A29" s="17" t="s">
        <v>55</v>
      </c>
      <c r="B29" s="25">
        <v>1.016</v>
      </c>
      <c r="C29" s="24" t="s">
        <v>106</v>
      </c>
      <c r="D29" s="24">
        <v>1.0089999999999999</v>
      </c>
      <c r="E29" s="24">
        <v>1.01</v>
      </c>
      <c r="F29" s="25">
        <v>1.0089999999999999</v>
      </c>
    </row>
    <row r="30" spans="1:6" ht="15" customHeight="1" x14ac:dyDescent="0.25">
      <c r="A30" s="17" t="s">
        <v>57</v>
      </c>
      <c r="B30" s="25" t="s">
        <v>533</v>
      </c>
      <c r="C30" s="24" t="s">
        <v>534</v>
      </c>
      <c r="D30" s="24" t="s">
        <v>535</v>
      </c>
      <c r="E30" s="24">
        <v>152</v>
      </c>
      <c r="F30" s="25" t="s">
        <v>536</v>
      </c>
    </row>
    <row r="31" spans="1:6" ht="15" customHeight="1" x14ac:dyDescent="0.25">
      <c r="A31" s="17" t="s">
        <v>58</v>
      </c>
      <c r="B31" s="67">
        <v>3787</v>
      </c>
      <c r="C31" s="68">
        <v>3522</v>
      </c>
      <c r="D31" s="68">
        <v>1214</v>
      </c>
      <c r="E31" s="68">
        <v>500</v>
      </c>
      <c r="F31" s="67">
        <v>500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8.28515625" customWidth="1"/>
  </cols>
  <sheetData>
    <row r="1" spans="1:2" ht="30" customHeight="1" x14ac:dyDescent="0.35">
      <c r="A1" s="63" t="s">
        <v>525</v>
      </c>
    </row>
    <row r="2" spans="1:2" ht="15.75" customHeight="1" x14ac:dyDescent="0.35">
      <c r="A2" s="3"/>
    </row>
    <row r="3" spans="1:2" ht="15.75" customHeight="1" x14ac:dyDescent="0.25">
      <c r="A3" s="4"/>
      <c r="B3" s="52">
        <v>2000</v>
      </c>
    </row>
    <row r="4" spans="1:2" ht="15.75" customHeight="1" x14ac:dyDescent="0.25">
      <c r="A4" s="17" t="s">
        <v>112</v>
      </c>
      <c r="B4" s="54">
        <f>6.61/13.145</f>
        <v>0.50285279573982511</v>
      </c>
    </row>
    <row r="5" spans="1:2" ht="15.75" customHeight="1" x14ac:dyDescent="0.25">
      <c r="A5" s="48" t="s">
        <v>14</v>
      </c>
      <c r="B5" s="54">
        <f>4.41/13.145</f>
        <v>0.33548877900342339</v>
      </c>
    </row>
    <row r="6" spans="1:2" ht="15.75" customHeight="1" x14ac:dyDescent="0.25">
      <c r="A6" s="48" t="s">
        <v>112</v>
      </c>
      <c r="B6" s="54">
        <f>1/13.145</f>
        <v>7.6074553062000769E-2</v>
      </c>
    </row>
    <row r="7" spans="1:2" ht="15.75" customHeight="1" x14ac:dyDescent="0.25">
      <c r="A7" s="48" t="s">
        <v>456</v>
      </c>
      <c r="B7" s="73">
        <f>(18/16)/13.145</f>
        <v>8.558387219475086E-2</v>
      </c>
    </row>
    <row r="8" spans="1:2" ht="15.75" customHeight="1" x14ac:dyDescent="0.25">
      <c r="A8" s="27"/>
      <c r="B8" s="58"/>
    </row>
    <row r="9" spans="1:2" ht="15.75" customHeight="1" x14ac:dyDescent="0.25">
      <c r="A9" s="27"/>
      <c r="B9" s="58"/>
    </row>
    <row r="10" spans="1:2" ht="15.75" customHeight="1" x14ac:dyDescent="0.25">
      <c r="A10" s="17" t="s">
        <v>28</v>
      </c>
      <c r="B10" s="9"/>
    </row>
    <row r="11" spans="1:2" ht="15.75" customHeight="1" x14ac:dyDescent="0.25">
      <c r="A11" s="17" t="s">
        <v>96</v>
      </c>
      <c r="B11" s="19"/>
    </row>
    <row r="12" spans="1:2" ht="15.75" customHeight="1" x14ac:dyDescent="0.25">
      <c r="A12" s="18" t="s">
        <v>31</v>
      </c>
      <c r="B12" s="22" t="s">
        <v>133</v>
      </c>
    </row>
    <row r="13" spans="1:2" ht="15.75" customHeight="1" x14ac:dyDescent="0.25">
      <c r="A13" s="18" t="s">
        <v>39</v>
      </c>
      <c r="B13" s="19"/>
    </row>
    <row r="14" spans="1:2" ht="15.75" customHeight="1" x14ac:dyDescent="0.25">
      <c r="A14" s="18" t="s">
        <v>40</v>
      </c>
      <c r="B14" s="19"/>
    </row>
    <row r="15" spans="1:2" ht="15.75" customHeight="1" x14ac:dyDescent="0.25">
      <c r="A15" s="18" t="s">
        <v>85</v>
      </c>
      <c r="B15" s="19"/>
    </row>
    <row r="16" spans="1:2" ht="15.75" customHeight="1" x14ac:dyDescent="0.25">
      <c r="A16" s="18" t="s">
        <v>41</v>
      </c>
      <c r="B16" s="22" t="s">
        <v>36</v>
      </c>
    </row>
    <row r="17" spans="1:2" ht="15.75" customHeight="1" x14ac:dyDescent="0.25">
      <c r="A17" s="18" t="s">
        <v>43</v>
      </c>
      <c r="B17" s="19"/>
    </row>
    <row r="18" spans="1:2" ht="15.75" customHeight="1" x14ac:dyDescent="0.25">
      <c r="A18" s="18" t="s">
        <v>44</v>
      </c>
      <c r="B18" s="22" t="s">
        <v>42</v>
      </c>
    </row>
    <row r="19" spans="1:2" ht="15.75" customHeight="1" x14ac:dyDescent="0.25">
      <c r="A19" s="18" t="s">
        <v>45</v>
      </c>
      <c r="B19" s="22" t="s">
        <v>36</v>
      </c>
    </row>
    <row r="20" spans="1:2" ht="15.75" customHeight="1" x14ac:dyDescent="0.25">
      <c r="A20" s="18" t="s">
        <v>52</v>
      </c>
      <c r="B20" s="19"/>
    </row>
    <row r="21" spans="1:2" ht="15.75" customHeight="1" x14ac:dyDescent="0.25">
      <c r="A21" s="58"/>
    </row>
    <row r="22" spans="1:2" ht="15.75" customHeight="1" x14ac:dyDescent="0.25">
      <c r="A22" s="17" t="s">
        <v>53</v>
      </c>
      <c r="B22" s="20">
        <v>1.0660000000000001</v>
      </c>
    </row>
    <row r="23" spans="1:2" ht="15.75" customHeight="1" x14ac:dyDescent="0.25">
      <c r="A23" s="17" t="s">
        <v>55</v>
      </c>
      <c r="B23" s="25">
        <v>1.0129999999999999</v>
      </c>
    </row>
    <row r="24" spans="1:2" ht="15.75" customHeight="1" x14ac:dyDescent="0.25">
      <c r="A24" s="17" t="s">
        <v>57</v>
      </c>
      <c r="B24" s="25">
        <v>145</v>
      </c>
    </row>
    <row r="25" spans="1:2" ht="15.75" customHeight="1" x14ac:dyDescent="0.25">
      <c r="A25" s="17" t="s">
        <v>58</v>
      </c>
      <c r="B25" s="67">
        <v>3522</v>
      </c>
    </row>
    <row r="27" spans="1:2" ht="57" customHeight="1" x14ac:dyDescent="0.25">
      <c r="B27" s="74" t="s">
        <v>529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7.7109375" customWidth="1"/>
    <col min="2" max="2" width="14.42578125" customWidth="1"/>
    <col min="3" max="3" width="10.42578125" customWidth="1"/>
    <col min="4" max="4" width="11.85546875" customWidth="1"/>
    <col min="5" max="5" width="10.5703125" customWidth="1"/>
    <col min="6" max="6" width="11.140625" customWidth="1"/>
    <col min="7" max="7" width="16" customWidth="1"/>
    <col min="8" max="8" width="16.140625" customWidth="1"/>
  </cols>
  <sheetData>
    <row r="1" spans="1:8" ht="23.25" customHeight="1" x14ac:dyDescent="0.35">
      <c r="A1" s="3" t="s">
        <v>527</v>
      </c>
      <c r="B1" s="3"/>
      <c r="D1" s="4"/>
      <c r="G1" s="4"/>
      <c r="H1" s="4"/>
    </row>
    <row r="2" spans="1:8" ht="23.25" customHeight="1" x14ac:dyDescent="0.35">
      <c r="A2" s="3"/>
      <c r="B2" s="3"/>
      <c r="D2" s="4"/>
      <c r="G2" s="4"/>
      <c r="H2" s="4"/>
    </row>
    <row r="3" spans="1:8" ht="23.25" customHeight="1" x14ac:dyDescent="0.25">
      <c r="A3" s="4"/>
      <c r="B3" s="52">
        <v>2001</v>
      </c>
      <c r="C3" s="53">
        <v>2005</v>
      </c>
      <c r="D3" s="53">
        <v>2006</v>
      </c>
      <c r="E3" s="53">
        <v>2007</v>
      </c>
      <c r="F3" s="53">
        <v>2011</v>
      </c>
      <c r="G3" s="53">
        <v>2012</v>
      </c>
      <c r="H3" s="52">
        <v>2016</v>
      </c>
    </row>
    <row r="4" spans="1:8" ht="15" customHeight="1" x14ac:dyDescent="0.25">
      <c r="A4" s="17" t="s">
        <v>112</v>
      </c>
      <c r="B4" s="54"/>
      <c r="C4" s="54">
        <f>21/26.5</f>
        <v>0.79245283018867929</v>
      </c>
      <c r="D4" s="54"/>
      <c r="E4" s="54">
        <f>10.75/20.68</f>
        <v>0.51982591876208895</v>
      </c>
      <c r="F4" s="54"/>
      <c r="G4" s="54"/>
      <c r="H4" s="54">
        <f>27/34.5</f>
        <v>0.78260869565217395</v>
      </c>
    </row>
    <row r="5" spans="1:8" ht="15" customHeight="1" x14ac:dyDescent="0.25">
      <c r="A5" s="17" t="s">
        <v>38</v>
      </c>
      <c r="B5" s="54">
        <f>0.5/20.625</f>
        <v>2.4242424242424242E-2</v>
      </c>
      <c r="C5" s="54">
        <f>0.5/26.5</f>
        <v>1.8867924528301886E-2</v>
      </c>
      <c r="D5" s="54">
        <f>0.5/23</f>
        <v>2.1739130434782608E-2</v>
      </c>
      <c r="E5" s="54">
        <f>0.75/20.68</f>
        <v>3.6266924564796903E-2</v>
      </c>
      <c r="F5" s="54">
        <f>0.5/36.5</f>
        <v>1.3698630136986301E-2</v>
      </c>
      <c r="G5" s="54"/>
      <c r="H5" s="54"/>
    </row>
    <row r="6" spans="1:8" ht="15" customHeight="1" x14ac:dyDescent="0.25">
      <c r="A6" s="17" t="s">
        <v>157</v>
      </c>
      <c r="B6" s="54">
        <f>(6/16)/20.625</f>
        <v>1.8181818181818181E-2</v>
      </c>
      <c r="C6" s="54">
        <f>2/26.5</f>
        <v>7.5471698113207544E-2</v>
      </c>
      <c r="D6" s="54">
        <f t="shared" ref="D6:D7" si="0">1/23</f>
        <v>4.3478260869565216E-2</v>
      </c>
      <c r="E6" s="54">
        <f t="shared" ref="E6:E7" si="1">1/20.68</f>
        <v>4.8355899419729211E-2</v>
      </c>
      <c r="F6" s="54"/>
      <c r="G6" s="54"/>
      <c r="H6" s="54">
        <f t="shared" ref="H6:H7" si="2">1/34.5</f>
        <v>2.8985507246376812E-2</v>
      </c>
    </row>
    <row r="7" spans="1:8" ht="15" customHeight="1" x14ac:dyDescent="0.25">
      <c r="A7" s="17" t="s">
        <v>250</v>
      </c>
      <c r="B7" s="54">
        <f t="shared" ref="B7:B8" si="3">0.25/20.625</f>
        <v>1.2121212121212121E-2</v>
      </c>
      <c r="C7" s="54">
        <f t="shared" ref="C7:C8" si="4">1/26.5</f>
        <v>3.7735849056603772E-2</v>
      </c>
      <c r="D7" s="54">
        <f t="shared" si="0"/>
        <v>4.3478260869565216E-2</v>
      </c>
      <c r="E7" s="54">
        <f t="shared" si="1"/>
        <v>4.8355899419729211E-2</v>
      </c>
      <c r="F7" s="54">
        <f>0.75/36.5</f>
        <v>2.0547945205479451E-2</v>
      </c>
      <c r="G7" s="54">
        <f>2.7/19.225</f>
        <v>0.14044213263979194</v>
      </c>
      <c r="H7" s="54">
        <f t="shared" si="2"/>
        <v>2.8985507246376812E-2</v>
      </c>
    </row>
    <row r="8" spans="1:8" ht="15" customHeight="1" x14ac:dyDescent="0.25">
      <c r="A8" s="17" t="s">
        <v>72</v>
      </c>
      <c r="B8" s="54">
        <f t="shared" si="3"/>
        <v>1.2121212121212121E-2</v>
      </c>
      <c r="C8" s="54">
        <f t="shared" si="4"/>
        <v>3.7735849056603772E-2</v>
      </c>
      <c r="D8" s="54"/>
      <c r="E8" s="54">
        <f>0.5/20.68</f>
        <v>2.4177949709864605E-2</v>
      </c>
      <c r="F8" s="54"/>
      <c r="G8" s="54"/>
      <c r="H8" s="54"/>
    </row>
    <row r="9" spans="1:8" ht="15" customHeight="1" x14ac:dyDescent="0.25">
      <c r="A9" s="17" t="s">
        <v>17</v>
      </c>
      <c r="B9" s="54"/>
      <c r="C9" s="54">
        <f>0.5/26.5</f>
        <v>1.8867924528301886E-2</v>
      </c>
      <c r="D9" s="54"/>
      <c r="E9" s="54">
        <f>1.75/20.68</f>
        <v>8.4622823984526113E-2</v>
      </c>
      <c r="F9" s="54"/>
      <c r="G9" s="54"/>
      <c r="H9" s="54">
        <f>0.5/34.5</f>
        <v>1.4492753623188406E-2</v>
      </c>
    </row>
    <row r="10" spans="1:8" ht="15" customHeight="1" x14ac:dyDescent="0.25">
      <c r="A10" s="17" t="s">
        <v>123</v>
      </c>
      <c r="B10" s="54"/>
      <c r="C10" s="54">
        <f t="shared" ref="C10:C11" si="5">0.25/26.5</f>
        <v>9.433962264150943E-3</v>
      </c>
      <c r="D10" s="54">
        <f>1/23</f>
        <v>4.3478260869565216E-2</v>
      </c>
      <c r="E10" s="54"/>
      <c r="F10" s="54"/>
      <c r="G10" s="54"/>
      <c r="H10" s="54"/>
    </row>
    <row r="11" spans="1:8" ht="15" customHeight="1" x14ac:dyDescent="0.25">
      <c r="A11" s="17" t="s">
        <v>155</v>
      </c>
      <c r="B11" s="54"/>
      <c r="C11" s="54">
        <f t="shared" si="5"/>
        <v>9.433962264150943E-3</v>
      </c>
      <c r="D11" s="54"/>
      <c r="E11" s="54">
        <f>(2/16)/20.68</f>
        <v>6.0444874274661513E-3</v>
      </c>
      <c r="F11" s="54"/>
      <c r="G11" s="54"/>
      <c r="H11" s="54"/>
    </row>
    <row r="12" spans="1:8" ht="15" customHeight="1" x14ac:dyDescent="0.25">
      <c r="A12" s="17" t="s">
        <v>24</v>
      </c>
      <c r="B12" s="54">
        <f>1/20.625</f>
        <v>4.8484848484848485E-2</v>
      </c>
      <c r="C12" s="54"/>
      <c r="D12" s="54">
        <f>3/23</f>
        <v>0.13043478260869565</v>
      </c>
      <c r="E12" s="54"/>
      <c r="F12" s="54"/>
      <c r="G12" s="54"/>
      <c r="H12" s="54">
        <f>2/34.5</f>
        <v>5.7971014492753624E-2</v>
      </c>
    </row>
    <row r="13" spans="1:8" ht="15" customHeight="1" x14ac:dyDescent="0.25">
      <c r="A13" s="17" t="s">
        <v>74</v>
      </c>
      <c r="B13" s="54"/>
      <c r="C13" s="54"/>
      <c r="D13" s="54">
        <f>0.5/23</f>
        <v>2.1739130434782608E-2</v>
      </c>
      <c r="E13" s="54"/>
      <c r="F13" s="54"/>
      <c r="G13" s="54"/>
      <c r="H13" s="54"/>
    </row>
    <row r="14" spans="1:8" ht="15" customHeight="1" x14ac:dyDescent="0.25">
      <c r="A14" s="17" t="s">
        <v>19</v>
      </c>
      <c r="B14" s="54"/>
      <c r="C14" s="54"/>
      <c r="D14" s="54">
        <f>15/23</f>
        <v>0.65217391304347827</v>
      </c>
      <c r="E14" s="54"/>
      <c r="F14" s="54">
        <f>30/36.5</f>
        <v>0.82191780821917804</v>
      </c>
      <c r="G14" s="54">
        <f>14.1/19.225</f>
        <v>0.73342002600780232</v>
      </c>
      <c r="H14" s="54"/>
    </row>
    <row r="15" spans="1:8" ht="15" customHeight="1" x14ac:dyDescent="0.25">
      <c r="A15" s="17" t="s">
        <v>192</v>
      </c>
      <c r="B15" s="54"/>
      <c r="C15" s="54"/>
      <c r="D15" s="54">
        <f>1/23</f>
        <v>4.3478260869565216E-2</v>
      </c>
      <c r="E15" s="54">
        <f>3/20.68</f>
        <v>0.14506769825918761</v>
      </c>
      <c r="F15" s="54">
        <f>5/36.5</f>
        <v>0.13698630136986301</v>
      </c>
      <c r="G15" s="54">
        <f>2.3/19.225</f>
        <v>0.11963589076723015</v>
      </c>
      <c r="H15" s="54"/>
    </row>
    <row r="16" spans="1:8" ht="15" customHeight="1" x14ac:dyDescent="0.25">
      <c r="A16" s="17" t="s">
        <v>82</v>
      </c>
      <c r="B16" s="54"/>
      <c r="C16" s="54"/>
      <c r="D16" s="54"/>
      <c r="E16" s="54">
        <f>1/20.68</f>
        <v>4.8355899419729211E-2</v>
      </c>
      <c r="F16" s="54"/>
      <c r="G16" s="54"/>
      <c r="H16" s="54"/>
    </row>
    <row r="17" spans="1:8" ht="15" customHeight="1" x14ac:dyDescent="0.25">
      <c r="A17" s="17" t="s">
        <v>167</v>
      </c>
      <c r="B17" s="54"/>
      <c r="C17" s="54"/>
      <c r="D17" s="54"/>
      <c r="E17" s="54">
        <f>(13/16)/20.68</f>
        <v>3.9289168278529983E-2</v>
      </c>
      <c r="F17" s="54"/>
      <c r="G17" s="54"/>
      <c r="H17" s="54"/>
    </row>
    <row r="18" spans="1:8" ht="15" customHeight="1" x14ac:dyDescent="0.25">
      <c r="A18" s="17" t="s">
        <v>125</v>
      </c>
      <c r="B18" s="54"/>
      <c r="C18" s="54"/>
      <c r="D18" s="54"/>
      <c r="E18" s="54"/>
      <c r="F18" s="54">
        <f>0.25/36.5</f>
        <v>6.8493150684931503E-3</v>
      </c>
      <c r="G18" s="54"/>
      <c r="H18" s="54"/>
    </row>
    <row r="19" spans="1:8" ht="15" customHeight="1" x14ac:dyDescent="0.25">
      <c r="A19" s="17" t="s">
        <v>129</v>
      </c>
      <c r="B19" s="54"/>
      <c r="C19" s="54"/>
      <c r="D19" s="54"/>
      <c r="E19" s="54"/>
      <c r="F19" s="54"/>
      <c r="G19" s="54">
        <f>0.125/19.225</f>
        <v>6.5019505851755524E-3</v>
      </c>
      <c r="H19" s="54"/>
    </row>
    <row r="20" spans="1:8" ht="15" customHeight="1" x14ac:dyDescent="0.25">
      <c r="A20" s="48" t="s">
        <v>266</v>
      </c>
      <c r="B20" s="54">
        <f>0.25/20.625</f>
        <v>1.2121212121212121E-2</v>
      </c>
      <c r="C20" s="54"/>
      <c r="D20" s="54"/>
      <c r="E20" s="54"/>
      <c r="F20" s="54"/>
      <c r="G20" s="54"/>
      <c r="H20" s="54"/>
    </row>
    <row r="21" spans="1:8" ht="15" customHeight="1" x14ac:dyDescent="0.25">
      <c r="A21" s="48" t="s">
        <v>135</v>
      </c>
      <c r="B21" s="54">
        <f>3/20.625</f>
        <v>0.14545454545454545</v>
      </c>
      <c r="C21" s="54"/>
      <c r="D21" s="54"/>
      <c r="E21" s="54"/>
      <c r="F21" s="54"/>
      <c r="G21" s="54"/>
      <c r="H21" s="54"/>
    </row>
    <row r="22" spans="1:8" ht="15" customHeight="1" x14ac:dyDescent="0.25">
      <c r="A22" s="48" t="s">
        <v>233</v>
      </c>
      <c r="B22" s="54">
        <f>15/20.625</f>
        <v>0.72727272727272729</v>
      </c>
      <c r="C22" s="54"/>
      <c r="D22" s="54"/>
      <c r="E22" s="54"/>
      <c r="F22" s="54"/>
      <c r="G22" s="54"/>
      <c r="H22" s="54"/>
    </row>
    <row r="23" spans="1:8" ht="15" customHeight="1" x14ac:dyDescent="0.25">
      <c r="A23" s="48" t="s">
        <v>546</v>
      </c>
      <c r="B23" s="54"/>
      <c r="C23" s="54"/>
      <c r="D23" s="54"/>
      <c r="E23" s="54"/>
      <c r="F23" s="54"/>
      <c r="G23" s="54"/>
      <c r="H23" s="54">
        <f>2/34.5</f>
        <v>5.7971014492753624E-2</v>
      </c>
    </row>
    <row r="24" spans="1:8" ht="15" customHeight="1" x14ac:dyDescent="0.25">
      <c r="A24" s="48" t="s">
        <v>92</v>
      </c>
      <c r="B24" s="54"/>
      <c r="C24" s="54"/>
      <c r="D24" s="54"/>
      <c r="E24" s="54"/>
      <c r="F24" s="54"/>
      <c r="G24" s="54"/>
      <c r="H24" s="54">
        <f>1/34.5</f>
        <v>2.8985507246376812E-2</v>
      </c>
    </row>
    <row r="25" spans="1:8" ht="15" customHeight="1" x14ac:dyDescent="0.25">
      <c r="A25" s="27"/>
      <c r="B25" s="58"/>
      <c r="C25" s="58"/>
      <c r="D25" s="58"/>
      <c r="E25" s="58"/>
      <c r="F25" s="58"/>
      <c r="G25" s="58"/>
      <c r="H25" s="58"/>
    </row>
    <row r="26" spans="1:8" ht="15" customHeight="1" x14ac:dyDescent="0.25">
      <c r="A26" s="17" t="s">
        <v>28</v>
      </c>
      <c r="B26" s="9"/>
      <c r="C26" s="9"/>
      <c r="D26" s="9"/>
      <c r="E26" s="9"/>
      <c r="F26" s="9"/>
      <c r="G26" s="9"/>
      <c r="H26" s="9"/>
    </row>
    <row r="27" spans="1:8" ht="15" customHeight="1" x14ac:dyDescent="0.25">
      <c r="A27" s="17" t="s">
        <v>96</v>
      </c>
      <c r="B27" s="22" t="s">
        <v>547</v>
      </c>
      <c r="C27" s="19"/>
      <c r="D27" s="19"/>
      <c r="E27" s="19"/>
      <c r="F27" s="19"/>
      <c r="G27" s="19"/>
      <c r="H27" s="19"/>
    </row>
    <row r="28" spans="1:8" ht="30" customHeight="1" x14ac:dyDescent="0.25">
      <c r="A28" s="18" t="s">
        <v>31</v>
      </c>
      <c r="B28" s="22" t="s">
        <v>36</v>
      </c>
      <c r="C28" s="19" t="s">
        <v>195</v>
      </c>
      <c r="D28" s="19" t="s">
        <v>36</v>
      </c>
      <c r="E28" s="19" t="s">
        <v>133</v>
      </c>
      <c r="F28" s="19" t="s">
        <v>98</v>
      </c>
      <c r="G28" s="19" t="s">
        <v>548</v>
      </c>
      <c r="H28" s="22" t="s">
        <v>549</v>
      </c>
    </row>
    <row r="29" spans="1:8" ht="15" customHeight="1" x14ac:dyDescent="0.25">
      <c r="A29" s="18" t="s">
        <v>39</v>
      </c>
      <c r="B29" s="19"/>
      <c r="C29" s="19"/>
      <c r="D29" s="19"/>
      <c r="E29" s="19"/>
      <c r="F29" s="19"/>
      <c r="G29" s="19"/>
      <c r="H29" s="19"/>
    </row>
    <row r="30" spans="1:8" ht="30" customHeight="1" x14ac:dyDescent="0.25">
      <c r="A30" s="18" t="s">
        <v>40</v>
      </c>
      <c r="B30" s="19"/>
      <c r="C30" s="19"/>
      <c r="D30" s="19"/>
      <c r="E30" s="19" t="s">
        <v>133</v>
      </c>
      <c r="F30" s="19"/>
      <c r="G30" s="19"/>
      <c r="H30" s="19"/>
    </row>
    <row r="31" spans="1:8" ht="15" customHeight="1" x14ac:dyDescent="0.25">
      <c r="A31" s="18" t="s">
        <v>85</v>
      </c>
      <c r="B31" s="19"/>
      <c r="C31" s="19"/>
      <c r="D31" s="19"/>
      <c r="E31" s="19"/>
      <c r="F31" s="19"/>
      <c r="G31" s="19" t="s">
        <v>196</v>
      </c>
      <c r="H31" s="19"/>
    </row>
    <row r="32" spans="1:8" ht="30" customHeight="1" x14ac:dyDescent="0.25">
      <c r="A32" s="18" t="s">
        <v>41</v>
      </c>
      <c r="B32" s="19"/>
      <c r="C32" s="19" t="s">
        <v>195</v>
      </c>
      <c r="D32" s="19"/>
      <c r="E32" s="19"/>
      <c r="F32" s="19" t="s">
        <v>133</v>
      </c>
      <c r="G32" s="19"/>
      <c r="H32" s="19"/>
    </row>
    <row r="33" spans="1:8" ht="15" customHeight="1" x14ac:dyDescent="0.25">
      <c r="A33" s="18" t="s">
        <v>43</v>
      </c>
      <c r="B33" s="19"/>
      <c r="C33" s="19"/>
      <c r="D33" s="19"/>
      <c r="E33" s="19"/>
      <c r="F33" s="19"/>
      <c r="G33" s="19" t="s">
        <v>196</v>
      </c>
      <c r="H33" s="19"/>
    </row>
    <row r="34" spans="1:8" ht="15" customHeight="1" x14ac:dyDescent="0.25">
      <c r="A34" s="18" t="s">
        <v>44</v>
      </c>
      <c r="B34" s="19"/>
      <c r="C34" s="19"/>
      <c r="D34" s="19"/>
      <c r="E34" s="19"/>
      <c r="F34" s="19"/>
      <c r="G34" s="19"/>
      <c r="H34" s="19"/>
    </row>
    <row r="35" spans="1:8" ht="30" customHeight="1" x14ac:dyDescent="0.25">
      <c r="A35" s="18" t="s">
        <v>45</v>
      </c>
      <c r="B35" s="19"/>
      <c r="C35" s="19"/>
      <c r="D35" s="19"/>
      <c r="E35" s="19"/>
      <c r="F35" s="19" t="s">
        <v>133</v>
      </c>
      <c r="G35" s="19"/>
      <c r="H35" s="19"/>
    </row>
    <row r="36" spans="1:8" ht="15" customHeight="1" x14ac:dyDescent="0.25">
      <c r="A36" s="18" t="s">
        <v>52</v>
      </c>
      <c r="B36" s="19"/>
      <c r="C36" s="19"/>
      <c r="D36" s="19"/>
      <c r="E36" s="19"/>
      <c r="F36" s="19"/>
      <c r="G36" s="19"/>
      <c r="H36" s="19"/>
    </row>
    <row r="37" spans="1:8" ht="15" customHeight="1" x14ac:dyDescent="0.25">
      <c r="A37" s="58"/>
      <c r="D37" s="4"/>
      <c r="G37" s="4"/>
      <c r="H37" s="4"/>
    </row>
    <row r="38" spans="1:8" ht="15" customHeight="1" x14ac:dyDescent="0.25">
      <c r="A38" s="17" t="s">
        <v>53</v>
      </c>
      <c r="B38" s="20">
        <v>1.093</v>
      </c>
      <c r="C38" s="9">
        <v>1.107</v>
      </c>
      <c r="D38" s="9">
        <v>1.103</v>
      </c>
      <c r="E38" s="9">
        <v>1.097</v>
      </c>
      <c r="F38" s="9">
        <v>1.091</v>
      </c>
      <c r="G38" s="9">
        <v>1.0880000000000001</v>
      </c>
      <c r="H38" s="20">
        <v>1.099</v>
      </c>
    </row>
    <row r="39" spans="1:8" ht="15" customHeight="1" x14ac:dyDescent="0.25">
      <c r="A39" s="17" t="s">
        <v>55</v>
      </c>
      <c r="B39" s="25">
        <v>1.0269999999999999</v>
      </c>
      <c r="C39" s="24">
        <v>1.022</v>
      </c>
      <c r="D39" s="24" t="s">
        <v>106</v>
      </c>
      <c r="E39" s="24">
        <v>1.012</v>
      </c>
      <c r="F39" s="24">
        <v>1.022</v>
      </c>
      <c r="G39" s="24">
        <v>1.0089999999999999</v>
      </c>
      <c r="H39" s="25">
        <v>1.0229999999999999</v>
      </c>
    </row>
    <row r="40" spans="1:8" ht="15" customHeight="1" x14ac:dyDescent="0.25">
      <c r="A40" s="17" t="s">
        <v>57</v>
      </c>
      <c r="B40" s="25">
        <v>150</v>
      </c>
      <c r="C40" s="24">
        <v>160</v>
      </c>
      <c r="D40" s="24">
        <v>153</v>
      </c>
      <c r="E40" s="24">
        <v>153</v>
      </c>
      <c r="F40" s="24">
        <v>149</v>
      </c>
      <c r="G40" s="24" t="s">
        <v>555</v>
      </c>
      <c r="H40" s="25">
        <v>149</v>
      </c>
    </row>
    <row r="41" spans="1:8" ht="15" customHeight="1" x14ac:dyDescent="0.25">
      <c r="A41" s="17" t="s">
        <v>58</v>
      </c>
      <c r="B41" s="67">
        <v>3787</v>
      </c>
      <c r="C41" s="68">
        <v>500</v>
      </c>
      <c r="D41" s="68">
        <v>570</v>
      </c>
      <c r="E41" s="68">
        <v>500</v>
      </c>
      <c r="F41" s="68">
        <v>500</v>
      </c>
      <c r="G41" s="68" t="s">
        <v>556</v>
      </c>
      <c r="H41" s="67">
        <v>3787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5.140625" customWidth="1"/>
    <col min="2" max="3" width="13.5703125" customWidth="1"/>
    <col min="4" max="4" width="11.28515625" customWidth="1"/>
    <col min="5" max="5" width="13.7109375" customWidth="1"/>
    <col min="6" max="6" width="11.85546875" customWidth="1"/>
    <col min="7" max="8" width="7.5703125" customWidth="1"/>
  </cols>
  <sheetData>
    <row r="1" spans="1:6" ht="23.25" customHeight="1" x14ac:dyDescent="0.35">
      <c r="A1" s="3" t="s">
        <v>537</v>
      </c>
      <c r="B1" s="3"/>
      <c r="C1" s="3"/>
      <c r="D1" s="4"/>
      <c r="E1" s="4"/>
      <c r="F1" s="4"/>
    </row>
    <row r="2" spans="1:6" ht="23.25" customHeight="1" x14ac:dyDescent="0.35">
      <c r="A2" s="3"/>
      <c r="B2" s="3"/>
      <c r="C2" s="3"/>
      <c r="D2" s="4"/>
      <c r="E2" s="4"/>
      <c r="F2" s="4"/>
    </row>
    <row r="3" spans="1:6" ht="23.25" customHeight="1" x14ac:dyDescent="0.25">
      <c r="A3" s="4"/>
      <c r="B3" s="52">
        <v>2000</v>
      </c>
      <c r="C3" s="52">
        <v>2001</v>
      </c>
      <c r="D3" s="53">
        <v>2004</v>
      </c>
      <c r="E3" s="53">
        <v>2006</v>
      </c>
      <c r="F3" s="53">
        <v>2012</v>
      </c>
    </row>
    <row r="4" spans="1:6" ht="15" customHeight="1" x14ac:dyDescent="0.25">
      <c r="A4" s="17" t="s">
        <v>214</v>
      </c>
      <c r="B4" s="54"/>
      <c r="C4" s="54">
        <f>25/26</f>
        <v>0.96153846153846156</v>
      </c>
      <c r="D4" s="54">
        <f>10/15.125</f>
        <v>0.66115702479338845</v>
      </c>
      <c r="E4" s="54">
        <f>55/74.5</f>
        <v>0.73825503355704702</v>
      </c>
      <c r="F4" s="54">
        <f>27/30</f>
        <v>0.9</v>
      </c>
    </row>
    <row r="5" spans="1:6" ht="15" customHeight="1" x14ac:dyDescent="0.25">
      <c r="A5" s="17" t="s">
        <v>539</v>
      </c>
      <c r="B5" s="54"/>
      <c r="C5" s="54"/>
      <c r="D5" s="54">
        <f>2/15.125</f>
        <v>0.13223140495867769</v>
      </c>
      <c r="E5" s="54">
        <f>3/74.5</f>
        <v>4.0268456375838924E-2</v>
      </c>
      <c r="F5" s="54"/>
    </row>
    <row r="6" spans="1:6" ht="15" customHeight="1" x14ac:dyDescent="0.25">
      <c r="A6" s="17" t="s">
        <v>72</v>
      </c>
      <c r="B6" s="54"/>
      <c r="C6" s="54"/>
      <c r="D6" s="54">
        <f t="shared" ref="D6:D7" si="0">0.5/15.125</f>
        <v>3.3057851239669422E-2</v>
      </c>
      <c r="E6" s="54"/>
      <c r="F6" s="54"/>
    </row>
    <row r="7" spans="1:6" ht="15" customHeight="1" x14ac:dyDescent="0.25">
      <c r="A7" s="17" t="s">
        <v>134</v>
      </c>
      <c r="B7" s="54"/>
      <c r="C7" s="54"/>
      <c r="D7" s="54">
        <f t="shared" si="0"/>
        <v>3.3057851239669422E-2</v>
      </c>
      <c r="E7" s="54"/>
      <c r="F7" s="54"/>
    </row>
    <row r="8" spans="1:6" ht="15" customHeight="1" x14ac:dyDescent="0.25">
      <c r="A8" s="17" t="s">
        <v>514</v>
      </c>
      <c r="B8" s="54"/>
      <c r="C8" s="54"/>
      <c r="D8" s="54">
        <f>(14/16)/15.125</f>
        <v>5.7851239669421489E-2</v>
      </c>
      <c r="E8" s="54"/>
      <c r="F8" s="54"/>
    </row>
    <row r="9" spans="1:6" ht="15" customHeight="1" x14ac:dyDescent="0.25">
      <c r="A9" s="17" t="s">
        <v>540</v>
      </c>
      <c r="B9" s="54"/>
      <c r="C9" s="54"/>
      <c r="D9" s="54">
        <f>(20/16)/15.125</f>
        <v>8.2644628099173556E-2</v>
      </c>
      <c r="E9" s="54"/>
      <c r="F9" s="54"/>
    </row>
    <row r="10" spans="1:6" ht="15" customHeight="1" x14ac:dyDescent="0.25">
      <c r="A10" s="17" t="s">
        <v>541</v>
      </c>
      <c r="B10" s="54"/>
      <c r="C10" s="54"/>
      <c r="D10" s="54"/>
      <c r="E10" s="54">
        <f t="shared" ref="E10:E11" si="1">2/74.5</f>
        <v>2.6845637583892617E-2</v>
      </c>
      <c r="F10" s="54"/>
    </row>
    <row r="11" spans="1:6" ht="15" customHeight="1" x14ac:dyDescent="0.25">
      <c r="A11" s="17" t="s">
        <v>157</v>
      </c>
      <c r="B11" s="54"/>
      <c r="C11" s="54"/>
      <c r="D11" s="54"/>
      <c r="E11" s="54">
        <f t="shared" si="1"/>
        <v>2.6845637583892617E-2</v>
      </c>
      <c r="F11" s="54"/>
    </row>
    <row r="12" spans="1:6" ht="15" customHeight="1" x14ac:dyDescent="0.25">
      <c r="A12" s="17" t="s">
        <v>248</v>
      </c>
      <c r="B12" s="54"/>
      <c r="C12" s="54"/>
      <c r="D12" s="54"/>
      <c r="E12" s="54">
        <f>8/74.5</f>
        <v>0.10738255033557047</v>
      </c>
      <c r="F12" s="54">
        <f>1/30</f>
        <v>3.3333333333333333E-2</v>
      </c>
    </row>
    <row r="13" spans="1:6" ht="15" customHeight="1" x14ac:dyDescent="0.25">
      <c r="A13" s="17" t="s">
        <v>250</v>
      </c>
      <c r="B13" s="54"/>
      <c r="C13" s="54"/>
      <c r="D13" s="54"/>
      <c r="E13" s="54">
        <f t="shared" ref="E13:E14" si="2">1/74.5</f>
        <v>1.3422818791946308E-2</v>
      </c>
      <c r="F13" s="54"/>
    </row>
    <row r="14" spans="1:6" ht="15" customHeight="1" x14ac:dyDescent="0.25">
      <c r="A14" s="17" t="s">
        <v>74</v>
      </c>
      <c r="B14" s="54"/>
      <c r="C14" s="54"/>
      <c r="D14" s="54"/>
      <c r="E14" s="54">
        <f t="shared" si="2"/>
        <v>1.3422818791946308E-2</v>
      </c>
      <c r="F14" s="54"/>
    </row>
    <row r="15" spans="1:6" ht="15" customHeight="1" x14ac:dyDescent="0.25">
      <c r="A15" s="17" t="s">
        <v>271</v>
      </c>
      <c r="B15" s="54"/>
      <c r="C15" s="54"/>
      <c r="D15" s="54"/>
      <c r="E15" s="54">
        <f>2/74.5</f>
        <v>2.6845637583892617E-2</v>
      </c>
      <c r="F15" s="54">
        <f>1/30</f>
        <v>3.3333333333333333E-2</v>
      </c>
    </row>
    <row r="16" spans="1:6" ht="15" customHeight="1" x14ac:dyDescent="0.25">
      <c r="A16" s="17" t="s">
        <v>544</v>
      </c>
      <c r="B16" s="54"/>
      <c r="C16" s="54"/>
      <c r="D16" s="54"/>
      <c r="E16" s="54">
        <f>0.5/74.5</f>
        <v>6.7114093959731542E-3</v>
      </c>
      <c r="F16" s="54"/>
    </row>
    <row r="17" spans="1:6" ht="15" customHeight="1" x14ac:dyDescent="0.25">
      <c r="A17" s="17" t="s">
        <v>165</v>
      </c>
      <c r="B17" s="54"/>
      <c r="C17" s="54"/>
      <c r="D17" s="54"/>
      <c r="E17" s="54"/>
      <c r="F17" s="54">
        <f>0.75/30</f>
        <v>2.5000000000000001E-2</v>
      </c>
    </row>
    <row r="18" spans="1:6" ht="15" customHeight="1" x14ac:dyDescent="0.25">
      <c r="A18" s="17" t="s">
        <v>153</v>
      </c>
      <c r="B18" s="54"/>
      <c r="C18" s="54"/>
      <c r="D18" s="54"/>
      <c r="E18" s="54"/>
      <c r="F18" s="54">
        <f>0.25/30</f>
        <v>8.3333333333333332E-3</v>
      </c>
    </row>
    <row r="19" spans="1:6" ht="15" customHeight="1" x14ac:dyDescent="0.25">
      <c r="A19" s="48" t="s">
        <v>112</v>
      </c>
      <c r="B19" s="54">
        <f>14/19.125</f>
        <v>0.73202614379084963</v>
      </c>
      <c r="C19" s="54"/>
      <c r="D19" s="54"/>
      <c r="E19" s="54"/>
      <c r="F19" s="54"/>
    </row>
    <row r="20" spans="1:6" ht="15" customHeight="1" x14ac:dyDescent="0.25">
      <c r="A20" s="48" t="s">
        <v>137</v>
      </c>
      <c r="B20" s="54">
        <f>2/19.125</f>
        <v>0.10457516339869281</v>
      </c>
      <c r="C20" s="54"/>
      <c r="D20" s="54"/>
      <c r="E20" s="54"/>
      <c r="F20" s="54"/>
    </row>
    <row r="21" spans="1:6" ht="15" customHeight="1" x14ac:dyDescent="0.25">
      <c r="A21" s="48" t="s">
        <v>155</v>
      </c>
      <c r="B21" s="54">
        <f>0.125/19.125</f>
        <v>6.5359477124183009E-3</v>
      </c>
      <c r="C21" s="54"/>
      <c r="D21" s="54"/>
      <c r="E21" s="54"/>
      <c r="F21" s="54"/>
    </row>
    <row r="22" spans="1:6" ht="15" customHeight="1" x14ac:dyDescent="0.25">
      <c r="A22" s="48" t="s">
        <v>369</v>
      </c>
      <c r="B22" s="54">
        <f>3/19.125</f>
        <v>0.15686274509803921</v>
      </c>
      <c r="C22" s="54"/>
      <c r="D22" s="54"/>
      <c r="E22" s="54"/>
      <c r="F22" s="54"/>
    </row>
    <row r="23" spans="1:6" ht="15" customHeight="1" x14ac:dyDescent="0.25">
      <c r="A23" s="48" t="s">
        <v>248</v>
      </c>
      <c r="B23" s="54"/>
      <c r="C23" s="54">
        <f>1/26</f>
        <v>3.8461538461538464E-2</v>
      </c>
      <c r="D23" s="54"/>
      <c r="E23" s="54"/>
      <c r="F23" s="54"/>
    </row>
    <row r="24" spans="1:6" ht="15" customHeight="1" x14ac:dyDescent="0.25">
      <c r="A24" s="27"/>
      <c r="B24" s="58"/>
      <c r="C24" s="58"/>
      <c r="D24" s="58"/>
      <c r="E24" s="58"/>
      <c r="F24" s="58"/>
    </row>
    <row r="25" spans="1:6" ht="15" customHeight="1" x14ac:dyDescent="0.25">
      <c r="A25" s="27"/>
      <c r="B25" s="58"/>
      <c r="C25" s="58"/>
      <c r="D25" s="58"/>
      <c r="E25" s="58"/>
      <c r="F25" s="58"/>
    </row>
    <row r="26" spans="1:6" ht="15" customHeight="1" x14ac:dyDescent="0.25">
      <c r="A26" s="17" t="s">
        <v>28</v>
      </c>
      <c r="B26" s="9"/>
      <c r="C26" s="9"/>
      <c r="D26" s="9"/>
      <c r="E26" s="9"/>
      <c r="F26" s="9"/>
    </row>
    <row r="27" spans="1:6" ht="15" customHeight="1" x14ac:dyDescent="0.25">
      <c r="A27" s="17" t="s">
        <v>96</v>
      </c>
      <c r="B27" s="19"/>
      <c r="C27" s="19"/>
      <c r="D27" s="19"/>
      <c r="E27" s="19" t="s">
        <v>142</v>
      </c>
      <c r="F27" s="19"/>
    </row>
    <row r="28" spans="1:6" ht="45" customHeight="1" x14ac:dyDescent="0.25">
      <c r="A28" s="18" t="s">
        <v>31</v>
      </c>
      <c r="B28" s="22" t="s">
        <v>557</v>
      </c>
      <c r="C28" s="22" t="s">
        <v>195</v>
      </c>
      <c r="D28" s="19" t="s">
        <v>273</v>
      </c>
      <c r="E28" s="19"/>
      <c r="F28" s="19" t="s">
        <v>559</v>
      </c>
    </row>
    <row r="29" spans="1:6" ht="15" customHeight="1" x14ac:dyDescent="0.25">
      <c r="A29" s="18" t="s">
        <v>39</v>
      </c>
      <c r="B29" s="19"/>
      <c r="C29" s="19"/>
      <c r="D29" s="19"/>
      <c r="E29" s="19"/>
      <c r="F29" s="19"/>
    </row>
    <row r="30" spans="1:6" ht="30" customHeight="1" x14ac:dyDescent="0.25">
      <c r="A30" s="18" t="s">
        <v>40</v>
      </c>
      <c r="B30" s="19"/>
      <c r="C30" s="19"/>
      <c r="D30" s="19" t="s">
        <v>195</v>
      </c>
      <c r="E30" s="19"/>
      <c r="F30" s="19"/>
    </row>
    <row r="31" spans="1:6" ht="15" customHeight="1" x14ac:dyDescent="0.25">
      <c r="A31" s="18" t="s">
        <v>85</v>
      </c>
      <c r="B31" s="19"/>
      <c r="C31" s="19"/>
      <c r="D31" s="19"/>
      <c r="E31" s="19"/>
      <c r="F31" s="19"/>
    </row>
    <row r="32" spans="1:6" ht="45" customHeight="1" x14ac:dyDescent="0.25">
      <c r="A32" s="18" t="s">
        <v>41</v>
      </c>
      <c r="B32" s="19"/>
      <c r="C32" s="22" t="s">
        <v>195</v>
      </c>
      <c r="D32" s="19"/>
      <c r="E32" s="19" t="s">
        <v>561</v>
      </c>
      <c r="F32" s="19"/>
    </row>
    <row r="33" spans="1:6" ht="30" customHeight="1" x14ac:dyDescent="0.25">
      <c r="A33" s="18" t="s">
        <v>43</v>
      </c>
      <c r="B33" s="19"/>
      <c r="C33" s="19"/>
      <c r="D33" s="19" t="s">
        <v>195</v>
      </c>
      <c r="E33" s="19"/>
      <c r="F33" s="19"/>
    </row>
    <row r="34" spans="1:6" ht="30" customHeight="1" x14ac:dyDescent="0.25">
      <c r="A34" s="18" t="s">
        <v>44</v>
      </c>
      <c r="B34" s="22" t="s">
        <v>562</v>
      </c>
      <c r="C34" s="19"/>
      <c r="D34" s="19"/>
      <c r="E34" s="19"/>
      <c r="F34" s="19"/>
    </row>
    <row r="35" spans="1:6" ht="45" customHeight="1" x14ac:dyDescent="0.25">
      <c r="A35" s="18" t="s">
        <v>45</v>
      </c>
      <c r="B35" s="19"/>
      <c r="C35" s="22" t="s">
        <v>195</v>
      </c>
      <c r="D35" s="19"/>
      <c r="E35" s="19" t="s">
        <v>561</v>
      </c>
      <c r="F35" s="19"/>
    </row>
    <row r="36" spans="1:6" ht="15" customHeight="1" x14ac:dyDescent="0.25">
      <c r="A36" s="18" t="s">
        <v>52</v>
      </c>
      <c r="B36" s="22" t="s">
        <v>133</v>
      </c>
      <c r="C36" s="19"/>
      <c r="D36" s="19"/>
      <c r="E36" s="19"/>
      <c r="F36" s="19"/>
    </row>
    <row r="37" spans="1:6" ht="15" customHeight="1" x14ac:dyDescent="0.25">
      <c r="A37" s="58"/>
      <c r="B37" s="4"/>
      <c r="C37" s="4"/>
      <c r="D37" s="4"/>
      <c r="E37" s="4"/>
      <c r="F37" s="4"/>
    </row>
    <row r="38" spans="1:6" ht="15" customHeight="1" x14ac:dyDescent="0.25">
      <c r="A38" s="17" t="s">
        <v>53</v>
      </c>
      <c r="B38" s="20">
        <v>1.087</v>
      </c>
      <c r="C38" s="20">
        <v>1.1180000000000001</v>
      </c>
      <c r="D38" s="9">
        <v>1.0920000000000001</v>
      </c>
      <c r="E38" s="9">
        <v>1.0880000000000001</v>
      </c>
      <c r="F38" s="9">
        <v>1.091</v>
      </c>
    </row>
    <row r="39" spans="1:6" ht="15" customHeight="1" x14ac:dyDescent="0.25">
      <c r="A39" s="17" t="s">
        <v>55</v>
      </c>
      <c r="B39" s="25">
        <v>1.024</v>
      </c>
      <c r="C39" s="25">
        <v>1.038</v>
      </c>
      <c r="D39" s="24">
        <v>1.0229999999999999</v>
      </c>
      <c r="E39" s="24">
        <v>1.024</v>
      </c>
      <c r="F39" s="24">
        <v>1.028</v>
      </c>
    </row>
    <row r="40" spans="1:6" ht="15" customHeight="1" x14ac:dyDescent="0.25">
      <c r="A40" s="17" t="s">
        <v>57</v>
      </c>
      <c r="B40" s="25">
        <v>153</v>
      </c>
      <c r="C40" s="25">
        <v>150</v>
      </c>
      <c r="D40" s="24">
        <v>155</v>
      </c>
      <c r="E40" s="24">
        <v>154</v>
      </c>
      <c r="F40" s="24">
        <v>151</v>
      </c>
    </row>
    <row r="41" spans="1:6" ht="15" customHeight="1" x14ac:dyDescent="0.25">
      <c r="A41" s="17" t="s">
        <v>58</v>
      </c>
      <c r="B41" s="67" t="s">
        <v>564</v>
      </c>
      <c r="C41" s="67">
        <v>1084</v>
      </c>
      <c r="D41" s="68" t="s">
        <v>251</v>
      </c>
      <c r="E41" s="68" t="s">
        <v>565</v>
      </c>
      <c r="F41" s="68">
        <v>1098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7.5703125" customWidth="1"/>
    <col min="2" max="2" width="15.85546875" customWidth="1"/>
    <col min="3" max="4" width="11.85546875" customWidth="1"/>
    <col min="5" max="5" width="12" customWidth="1"/>
    <col min="6" max="6" width="11.5703125" customWidth="1"/>
    <col min="7" max="7" width="7.5703125" customWidth="1"/>
  </cols>
  <sheetData>
    <row r="1" spans="1:6" ht="23.25" customHeight="1" x14ac:dyDescent="0.35">
      <c r="A1" s="3" t="s">
        <v>538</v>
      </c>
      <c r="B1" s="3"/>
      <c r="C1" s="4"/>
      <c r="D1" s="4"/>
      <c r="E1" s="4"/>
    </row>
    <row r="2" spans="1:6" ht="23.25" customHeight="1" x14ac:dyDescent="0.35">
      <c r="A2" s="3"/>
      <c r="B2" s="3"/>
      <c r="C2" s="4"/>
      <c r="D2" s="4"/>
      <c r="E2" s="4"/>
    </row>
    <row r="3" spans="1:6" ht="23.25" customHeight="1" x14ac:dyDescent="0.25">
      <c r="A3" s="4"/>
      <c r="B3" s="52">
        <v>2003</v>
      </c>
      <c r="C3" s="53">
        <v>2004</v>
      </c>
      <c r="D3" s="53">
        <v>2010</v>
      </c>
      <c r="E3" s="53">
        <v>2014</v>
      </c>
      <c r="F3" s="52">
        <v>2016</v>
      </c>
    </row>
    <row r="4" spans="1:6" ht="15" customHeight="1" x14ac:dyDescent="0.25">
      <c r="A4" s="48" t="s">
        <v>112</v>
      </c>
      <c r="B4" s="54"/>
      <c r="C4" s="54">
        <f>25/28</f>
        <v>0.8928571428571429</v>
      </c>
      <c r="D4" s="54"/>
      <c r="E4" s="54"/>
      <c r="F4" s="54"/>
    </row>
    <row r="5" spans="1:6" ht="15" customHeight="1" x14ac:dyDescent="0.25">
      <c r="A5" s="17" t="s">
        <v>248</v>
      </c>
      <c r="B5" s="54"/>
      <c r="C5" s="54">
        <f t="shared" ref="C5:C7" si="0">1/28</f>
        <v>3.5714285714285712E-2</v>
      </c>
      <c r="D5" s="54"/>
      <c r="E5" s="54"/>
      <c r="F5" s="54"/>
    </row>
    <row r="6" spans="1:6" ht="15" customHeight="1" x14ac:dyDescent="0.25">
      <c r="A6" s="17" t="s">
        <v>119</v>
      </c>
      <c r="B6" s="54"/>
      <c r="C6" s="54">
        <f t="shared" si="0"/>
        <v>3.5714285714285712E-2</v>
      </c>
      <c r="D6" s="54"/>
      <c r="E6" s="54"/>
      <c r="F6" s="54"/>
    </row>
    <row r="7" spans="1:6" ht="15" customHeight="1" x14ac:dyDescent="0.25">
      <c r="A7" s="17" t="s">
        <v>165</v>
      </c>
      <c r="B7" s="54"/>
      <c r="C7" s="54">
        <f t="shared" si="0"/>
        <v>3.5714285714285712E-2</v>
      </c>
      <c r="D7" s="54"/>
      <c r="E7" s="54"/>
      <c r="F7" s="54"/>
    </row>
    <row r="8" spans="1:6" ht="15" customHeight="1" x14ac:dyDescent="0.25">
      <c r="A8" s="17" t="s">
        <v>14</v>
      </c>
      <c r="B8" s="54">
        <f>12/21.1875</f>
        <v>0.5663716814159292</v>
      </c>
      <c r="C8" s="54"/>
      <c r="D8" s="54">
        <f>20/23.75</f>
        <v>0.84210526315789469</v>
      </c>
      <c r="E8" s="54"/>
      <c r="F8" s="54"/>
    </row>
    <row r="9" spans="1:6" ht="15" customHeight="1" x14ac:dyDescent="0.25">
      <c r="A9" s="17" t="s">
        <v>292</v>
      </c>
      <c r="B9" s="54"/>
      <c r="C9" s="54"/>
      <c r="D9" s="54">
        <f>1/23.75</f>
        <v>4.2105263157894736E-2</v>
      </c>
      <c r="E9" s="54"/>
      <c r="F9" s="54"/>
    </row>
    <row r="10" spans="1:6" ht="15" customHeight="1" x14ac:dyDescent="0.25">
      <c r="A10" s="17" t="s">
        <v>318</v>
      </c>
      <c r="B10" s="54">
        <f>5/21.1875</f>
        <v>0.2359882005899705</v>
      </c>
      <c r="C10" s="54"/>
      <c r="D10" s="54">
        <f>0.75/23.75</f>
        <v>3.1578947368421054E-2</v>
      </c>
      <c r="E10" s="54"/>
      <c r="F10" s="54">
        <f>3.5/18.75</f>
        <v>0.18666666666666668</v>
      </c>
    </row>
    <row r="11" spans="1:6" ht="15" customHeight="1" x14ac:dyDescent="0.25">
      <c r="A11" s="17" t="s">
        <v>542</v>
      </c>
      <c r="B11" s="54"/>
      <c r="C11" s="54"/>
      <c r="D11" s="54">
        <f t="shared" ref="D11:D12" si="1">2/23.75</f>
        <v>8.4210526315789472E-2</v>
      </c>
      <c r="E11" s="54"/>
      <c r="F11" s="54"/>
    </row>
    <row r="12" spans="1:6" ht="15" customHeight="1" x14ac:dyDescent="0.25">
      <c r="A12" s="17" t="s">
        <v>214</v>
      </c>
      <c r="B12" s="54"/>
      <c r="C12" s="54"/>
      <c r="D12" s="54">
        <f t="shared" si="1"/>
        <v>8.4210526315789472E-2</v>
      </c>
      <c r="E12" s="54">
        <v>1</v>
      </c>
      <c r="F12" s="54"/>
    </row>
    <row r="13" spans="1:6" ht="15" customHeight="1" x14ac:dyDescent="0.25">
      <c r="A13" s="48" t="s">
        <v>543</v>
      </c>
      <c r="B13" s="65">
        <f t="shared" ref="B13:B14" si="2">1/21.1875</f>
        <v>4.71976401179941E-2</v>
      </c>
      <c r="C13" s="54"/>
      <c r="D13" s="54"/>
      <c r="E13" s="54"/>
      <c r="F13" s="54"/>
    </row>
    <row r="14" spans="1:6" ht="15" customHeight="1" x14ac:dyDescent="0.25">
      <c r="A14" s="48" t="s">
        <v>221</v>
      </c>
      <c r="B14" s="65">
        <f t="shared" si="2"/>
        <v>4.71976401179941E-2</v>
      </c>
      <c r="C14" s="54"/>
      <c r="D14" s="54"/>
      <c r="E14" s="54"/>
      <c r="F14" s="54"/>
    </row>
    <row r="15" spans="1:6" ht="15" customHeight="1" x14ac:dyDescent="0.25">
      <c r="A15" s="48" t="s">
        <v>128</v>
      </c>
      <c r="B15" s="54">
        <f>0.5/21.1875</f>
        <v>2.359882005899705E-2</v>
      </c>
      <c r="C15" s="54"/>
      <c r="D15" s="54"/>
      <c r="E15" s="54"/>
      <c r="F15" s="54"/>
    </row>
    <row r="16" spans="1:6" ht="15" customHeight="1" x14ac:dyDescent="0.25">
      <c r="A16" s="48" t="s">
        <v>155</v>
      </c>
      <c r="B16" s="54">
        <f>0.0625/21.1875</f>
        <v>2.9498525073746312E-3</v>
      </c>
      <c r="C16" s="54"/>
      <c r="D16" s="54"/>
      <c r="E16" s="54"/>
      <c r="F16" s="54"/>
    </row>
    <row r="17" spans="1:6" ht="15" customHeight="1" x14ac:dyDescent="0.25">
      <c r="A17" s="48" t="s">
        <v>164</v>
      </c>
      <c r="B17" s="65">
        <f>1/21.1875</f>
        <v>4.71976401179941E-2</v>
      </c>
      <c r="C17" s="54"/>
      <c r="D17" s="54"/>
      <c r="E17" s="54"/>
      <c r="F17" s="54"/>
    </row>
    <row r="18" spans="1:6" ht="15" customHeight="1" x14ac:dyDescent="0.25">
      <c r="A18" s="48" t="s">
        <v>545</v>
      </c>
      <c r="B18" s="65"/>
      <c r="C18" s="54"/>
      <c r="D18" s="54"/>
      <c r="E18" s="54"/>
      <c r="F18" s="54">
        <f t="shared" ref="F18:F19" si="3">0.5/18.75</f>
        <v>2.6666666666666668E-2</v>
      </c>
    </row>
    <row r="19" spans="1:6" ht="15" customHeight="1" x14ac:dyDescent="0.25">
      <c r="A19" s="48" t="s">
        <v>291</v>
      </c>
      <c r="B19" s="54"/>
      <c r="C19" s="54"/>
      <c r="D19" s="54"/>
      <c r="E19" s="54"/>
      <c r="F19" s="54">
        <f t="shared" si="3"/>
        <v>2.6666666666666668E-2</v>
      </c>
    </row>
    <row r="20" spans="1:6" ht="15" customHeight="1" x14ac:dyDescent="0.25">
      <c r="A20" s="48" t="s">
        <v>127</v>
      </c>
      <c r="B20" s="54"/>
      <c r="C20" s="54"/>
      <c r="D20" s="54"/>
      <c r="E20" s="54"/>
      <c r="F20" s="54">
        <f>0.25/18.75</f>
        <v>1.3333333333333334E-2</v>
      </c>
    </row>
    <row r="21" spans="1:6" ht="15" customHeight="1" x14ac:dyDescent="0.25">
      <c r="A21" s="48" t="s">
        <v>261</v>
      </c>
      <c r="B21" s="65"/>
      <c r="C21" s="54"/>
      <c r="D21" s="54"/>
      <c r="E21" s="54"/>
      <c r="F21" s="54">
        <f>14/18.75</f>
        <v>0.7466666666666667</v>
      </c>
    </row>
    <row r="22" spans="1:6" ht="15" customHeight="1" x14ac:dyDescent="0.25">
      <c r="A22" s="27"/>
      <c r="B22" s="58"/>
      <c r="C22" s="58"/>
      <c r="D22" s="58"/>
      <c r="E22" s="58"/>
      <c r="F22" s="58"/>
    </row>
    <row r="23" spans="1:6" ht="15" customHeight="1" x14ac:dyDescent="0.25">
      <c r="A23" s="17" t="s">
        <v>28</v>
      </c>
      <c r="B23" s="9"/>
      <c r="C23" s="9"/>
      <c r="D23" s="9"/>
      <c r="E23" s="9"/>
      <c r="F23" s="9"/>
    </row>
    <row r="24" spans="1:6" ht="27" customHeight="1" x14ac:dyDescent="0.25">
      <c r="A24" s="17" t="s">
        <v>96</v>
      </c>
      <c r="B24" s="22" t="s">
        <v>550</v>
      </c>
      <c r="C24" s="19"/>
      <c r="D24" s="19"/>
      <c r="E24" s="19" t="s">
        <v>98</v>
      </c>
      <c r="F24" s="19"/>
    </row>
    <row r="25" spans="1:6" ht="29.25" customHeight="1" x14ac:dyDescent="0.25">
      <c r="A25" s="18" t="s">
        <v>31</v>
      </c>
      <c r="B25" s="22" t="s">
        <v>170</v>
      </c>
      <c r="C25" s="19" t="s">
        <v>273</v>
      </c>
      <c r="D25" s="19" t="s">
        <v>551</v>
      </c>
      <c r="E25" s="19"/>
      <c r="F25" s="22" t="s">
        <v>552</v>
      </c>
    </row>
    <row r="26" spans="1:6" ht="15" customHeight="1" x14ac:dyDescent="0.25">
      <c r="A26" s="18" t="s">
        <v>39</v>
      </c>
      <c r="B26" s="19"/>
      <c r="C26" s="19"/>
      <c r="D26" s="19"/>
      <c r="E26" s="19"/>
      <c r="F26" s="19"/>
    </row>
    <row r="27" spans="1:6" ht="15" customHeight="1" x14ac:dyDescent="0.25">
      <c r="A27" s="18" t="s">
        <v>40</v>
      </c>
      <c r="B27" s="19"/>
      <c r="C27" s="19"/>
      <c r="D27" s="19" t="s">
        <v>196</v>
      </c>
      <c r="E27" s="19" t="s">
        <v>553</v>
      </c>
      <c r="F27" s="19"/>
    </row>
    <row r="28" spans="1:6" ht="30" customHeight="1" x14ac:dyDescent="0.25">
      <c r="A28" s="18" t="s">
        <v>85</v>
      </c>
      <c r="B28" s="19"/>
      <c r="C28" s="19" t="s">
        <v>195</v>
      </c>
      <c r="D28" s="19"/>
      <c r="E28" s="19"/>
      <c r="F28" s="19" t="s">
        <v>195</v>
      </c>
    </row>
    <row r="29" spans="1:6" ht="30" customHeight="1" x14ac:dyDescent="0.25">
      <c r="A29" s="18" t="s">
        <v>41</v>
      </c>
      <c r="B29" s="22" t="s">
        <v>56</v>
      </c>
      <c r="C29" s="19"/>
      <c r="D29" s="19" t="s">
        <v>554</v>
      </c>
      <c r="E29" s="19"/>
      <c r="F29" s="19"/>
    </row>
    <row r="30" spans="1:6" ht="15" customHeight="1" x14ac:dyDescent="0.25">
      <c r="A30" s="18" t="s">
        <v>43</v>
      </c>
      <c r="B30" s="19"/>
      <c r="C30" s="19"/>
      <c r="D30" s="19"/>
      <c r="E30" s="19" t="s">
        <v>553</v>
      </c>
      <c r="F30" s="19"/>
    </row>
    <row r="31" spans="1:6" ht="15" customHeight="1" x14ac:dyDescent="0.25">
      <c r="A31" s="18" t="s">
        <v>44</v>
      </c>
      <c r="B31" s="19"/>
      <c r="C31" s="19"/>
      <c r="D31" s="19" t="s">
        <v>243</v>
      </c>
      <c r="E31" s="19"/>
      <c r="F31" s="19"/>
    </row>
    <row r="32" spans="1:6" ht="15" customHeight="1" x14ac:dyDescent="0.25">
      <c r="A32" s="18" t="s">
        <v>45</v>
      </c>
      <c r="B32" s="22" t="s">
        <v>42</v>
      </c>
      <c r="C32" s="19"/>
      <c r="D32" s="19"/>
      <c r="E32" s="19"/>
      <c r="F32" s="19"/>
    </row>
    <row r="33" spans="1:6" ht="15" customHeight="1" x14ac:dyDescent="0.25">
      <c r="A33" s="18" t="s">
        <v>52</v>
      </c>
      <c r="B33" s="22" t="s">
        <v>558</v>
      </c>
      <c r="C33" s="19"/>
      <c r="D33" s="19" t="s">
        <v>243</v>
      </c>
      <c r="E33" s="19"/>
      <c r="F33" s="19"/>
    </row>
    <row r="34" spans="1:6" ht="15" customHeight="1" x14ac:dyDescent="0.25">
      <c r="A34" s="58"/>
      <c r="B34" s="4"/>
      <c r="C34" s="4"/>
      <c r="D34" s="4"/>
      <c r="E34" s="4"/>
      <c r="F34" s="4"/>
    </row>
    <row r="35" spans="1:6" ht="15" customHeight="1" x14ac:dyDescent="0.25">
      <c r="A35" s="17" t="s">
        <v>53</v>
      </c>
      <c r="B35" s="20">
        <v>1.1120000000000001</v>
      </c>
      <c r="C35" s="9">
        <v>1.095</v>
      </c>
      <c r="D35" s="9">
        <v>1.0940000000000001</v>
      </c>
      <c r="E35" s="9">
        <v>1.1399999999999999</v>
      </c>
      <c r="F35" s="20">
        <v>1.1060000000000001</v>
      </c>
    </row>
    <row r="36" spans="1:6" ht="15" customHeight="1" x14ac:dyDescent="0.25">
      <c r="A36" s="17" t="s">
        <v>55</v>
      </c>
      <c r="B36" s="25">
        <v>1.034</v>
      </c>
      <c r="C36" s="24">
        <v>1.0229999999999999</v>
      </c>
      <c r="D36" s="24">
        <v>1.024</v>
      </c>
      <c r="E36" s="24">
        <v>1.0249999999999999</v>
      </c>
      <c r="F36" s="25">
        <v>1.024</v>
      </c>
    </row>
    <row r="37" spans="1:6" ht="15" customHeight="1" x14ac:dyDescent="0.25">
      <c r="A37" s="17" t="s">
        <v>57</v>
      </c>
      <c r="B37" s="25" t="s">
        <v>90</v>
      </c>
      <c r="C37" s="24">
        <v>152</v>
      </c>
      <c r="D37" s="24">
        <v>150</v>
      </c>
      <c r="E37" s="24">
        <v>145</v>
      </c>
      <c r="F37" s="25">
        <v>148</v>
      </c>
    </row>
    <row r="38" spans="1:6" ht="15" customHeight="1" x14ac:dyDescent="0.25">
      <c r="A38" s="17" t="s">
        <v>58</v>
      </c>
      <c r="B38" s="67">
        <v>1028</v>
      </c>
      <c r="C38" s="68" t="s">
        <v>252</v>
      </c>
      <c r="D38" s="68" t="s">
        <v>252</v>
      </c>
      <c r="E38" s="67" t="s">
        <v>560</v>
      </c>
      <c r="F38" s="67" t="s">
        <v>348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5.5703125" customWidth="1"/>
    <col min="2" max="2" width="13.5703125" customWidth="1"/>
    <col min="3" max="3" width="17.42578125" customWidth="1"/>
    <col min="4" max="4" width="11.42578125" customWidth="1"/>
    <col min="5" max="5" width="11.5703125" customWidth="1"/>
    <col min="6" max="6" width="12" customWidth="1"/>
    <col min="7" max="7" width="11.7109375" customWidth="1"/>
    <col min="8" max="8" width="11" customWidth="1"/>
    <col min="9" max="10" width="11.5703125" customWidth="1"/>
  </cols>
  <sheetData>
    <row r="1" spans="1:10" ht="23.25" customHeight="1" x14ac:dyDescent="0.35">
      <c r="A1" s="3" t="s">
        <v>563</v>
      </c>
      <c r="B1" s="3"/>
      <c r="C1" s="3"/>
      <c r="D1" s="4"/>
      <c r="E1" s="4"/>
      <c r="F1" s="4"/>
      <c r="G1" s="4"/>
      <c r="H1" s="4"/>
      <c r="I1" s="4"/>
      <c r="J1" s="4"/>
    </row>
    <row r="2" spans="1:10" ht="23.25" customHeight="1" x14ac:dyDescent="0.35">
      <c r="A2" s="3"/>
      <c r="B2" s="3"/>
      <c r="C2" s="3"/>
      <c r="D2" s="4"/>
      <c r="E2" s="4"/>
      <c r="F2" s="4"/>
      <c r="G2" s="4"/>
      <c r="H2" s="4"/>
      <c r="I2" s="4"/>
      <c r="J2" s="4"/>
    </row>
    <row r="3" spans="1:10" ht="23.25" customHeight="1" x14ac:dyDescent="0.25">
      <c r="A3" s="4"/>
      <c r="B3" s="52">
        <v>2000</v>
      </c>
      <c r="C3" s="52">
        <v>2001</v>
      </c>
      <c r="D3" s="53">
        <v>2004</v>
      </c>
      <c r="E3" s="53">
        <v>2007</v>
      </c>
      <c r="F3" s="53">
        <v>2008</v>
      </c>
      <c r="G3" s="53">
        <v>2009</v>
      </c>
      <c r="H3" s="53">
        <v>2011</v>
      </c>
      <c r="I3" s="53">
        <v>2013</v>
      </c>
      <c r="J3" s="52">
        <v>2015</v>
      </c>
    </row>
    <row r="4" spans="1:10" ht="15" customHeight="1" x14ac:dyDescent="0.25">
      <c r="A4" s="17" t="s">
        <v>214</v>
      </c>
      <c r="B4" s="54"/>
      <c r="C4" s="54"/>
      <c r="D4" s="54">
        <f>16/18.1</f>
        <v>0.88397790055248615</v>
      </c>
      <c r="E4" s="54">
        <v>0.33700000000000002</v>
      </c>
      <c r="F4" s="54">
        <f>12/24.125</f>
        <v>0.49740932642487046</v>
      </c>
      <c r="G4" s="54">
        <f>24/37</f>
        <v>0.64864864864864868</v>
      </c>
      <c r="H4" s="54">
        <f>21.7/25.9</f>
        <v>0.83783783783783783</v>
      </c>
      <c r="I4" s="54">
        <f>7/22.5</f>
        <v>0.31111111111111112</v>
      </c>
      <c r="J4" s="56">
        <v>0.39200000000000002</v>
      </c>
    </row>
    <row r="5" spans="1:10" ht="15" customHeight="1" x14ac:dyDescent="0.25">
      <c r="A5" s="17" t="s">
        <v>24</v>
      </c>
      <c r="B5" s="54"/>
      <c r="C5" s="54"/>
      <c r="D5" s="54">
        <f>1.6/18.1</f>
        <v>8.8397790055248615E-2</v>
      </c>
      <c r="E5" s="54"/>
      <c r="F5" s="54">
        <f>6/24.125</f>
        <v>0.24870466321243523</v>
      </c>
      <c r="G5" s="54"/>
      <c r="H5" s="54"/>
      <c r="I5" s="54"/>
      <c r="J5" s="54"/>
    </row>
    <row r="6" spans="1:10" ht="15" customHeight="1" x14ac:dyDescent="0.25">
      <c r="A6" s="17" t="s">
        <v>356</v>
      </c>
      <c r="B6" s="54"/>
      <c r="C6" s="54"/>
      <c r="D6" s="54">
        <f>0.5/18.1</f>
        <v>2.7624309392265192E-2</v>
      </c>
      <c r="E6" s="54"/>
      <c r="F6" s="54"/>
      <c r="G6" s="54"/>
      <c r="H6" s="54"/>
      <c r="I6" s="54"/>
      <c r="J6" s="54"/>
    </row>
    <row r="7" spans="1:10" ht="15" customHeight="1" x14ac:dyDescent="0.25">
      <c r="A7" s="17" t="s">
        <v>318</v>
      </c>
      <c r="B7" s="54"/>
      <c r="C7" s="54"/>
      <c r="D7" s="54"/>
      <c r="E7" s="54">
        <f>15/44.5</f>
        <v>0.33707865168539325</v>
      </c>
      <c r="F7" s="54"/>
      <c r="G7" s="54"/>
      <c r="H7" s="54"/>
      <c r="I7" s="54"/>
      <c r="J7" s="56">
        <v>0.105</v>
      </c>
    </row>
    <row r="8" spans="1:10" ht="15" customHeight="1" x14ac:dyDescent="0.25">
      <c r="A8" s="17" t="s">
        <v>17</v>
      </c>
      <c r="B8" s="54"/>
      <c r="C8" s="54"/>
      <c r="D8" s="54"/>
      <c r="E8" s="54">
        <f>5/44.5</f>
        <v>0.11235955056179775</v>
      </c>
      <c r="F8" s="54"/>
      <c r="G8" s="54"/>
      <c r="H8" s="54">
        <f>1.4/25.9</f>
        <v>5.4054054054054057E-2</v>
      </c>
      <c r="I8" s="54"/>
      <c r="J8" s="54"/>
    </row>
    <row r="9" spans="1:10" ht="15" customHeight="1" x14ac:dyDescent="0.25">
      <c r="A9" s="17" t="s">
        <v>248</v>
      </c>
      <c r="B9" s="54"/>
      <c r="C9" s="54"/>
      <c r="D9" s="54"/>
      <c r="E9" s="54">
        <f>3/44.5</f>
        <v>6.741573033707865E-2</v>
      </c>
      <c r="F9" s="54"/>
      <c r="G9" s="54"/>
      <c r="H9" s="54"/>
      <c r="I9" s="54"/>
      <c r="J9" s="54"/>
    </row>
    <row r="10" spans="1:10" ht="15" customHeight="1" x14ac:dyDescent="0.25">
      <c r="A10" s="17" t="s">
        <v>72</v>
      </c>
      <c r="B10" s="54"/>
      <c r="C10" s="54"/>
      <c r="D10" s="54"/>
      <c r="E10" s="54">
        <f t="shared" ref="E10:E12" si="0">2/44.5</f>
        <v>4.49438202247191E-2</v>
      </c>
      <c r="F10" s="54"/>
      <c r="G10" s="54"/>
      <c r="H10" s="54"/>
      <c r="I10" s="54"/>
      <c r="J10" s="54"/>
    </row>
    <row r="11" spans="1:10" ht="15" customHeight="1" x14ac:dyDescent="0.25">
      <c r="A11" s="17" t="s">
        <v>167</v>
      </c>
      <c r="B11" s="54"/>
      <c r="C11" s="54"/>
      <c r="D11" s="54"/>
      <c r="E11" s="54">
        <f t="shared" si="0"/>
        <v>4.49438202247191E-2</v>
      </c>
      <c r="F11" s="54"/>
      <c r="G11" s="54"/>
      <c r="H11" s="54"/>
      <c r="I11" s="54"/>
      <c r="J11" s="54"/>
    </row>
    <row r="12" spans="1:10" ht="15" customHeight="1" x14ac:dyDescent="0.25">
      <c r="A12" s="17" t="s">
        <v>250</v>
      </c>
      <c r="B12" s="54"/>
      <c r="C12" s="54">
        <f>0.25/24.25</f>
        <v>1.0309278350515464E-2</v>
      </c>
      <c r="D12" s="54"/>
      <c r="E12" s="54">
        <f t="shared" si="0"/>
        <v>4.49438202247191E-2</v>
      </c>
      <c r="F12" s="54"/>
      <c r="G12" s="54"/>
      <c r="H12" s="54"/>
      <c r="I12" s="54"/>
      <c r="J12" s="56">
        <v>1.2999999999999999E-2</v>
      </c>
    </row>
    <row r="13" spans="1:10" ht="15" customHeight="1" x14ac:dyDescent="0.25">
      <c r="A13" s="17" t="s">
        <v>38</v>
      </c>
      <c r="B13" s="54"/>
      <c r="C13" s="54"/>
      <c r="D13" s="54"/>
      <c r="E13" s="54">
        <f>0.5/44.5</f>
        <v>1.1235955056179775E-2</v>
      </c>
      <c r="F13" s="54"/>
      <c r="G13" s="54"/>
      <c r="H13" s="54"/>
      <c r="I13" s="54"/>
      <c r="J13" s="54"/>
    </row>
    <row r="14" spans="1:10" ht="15" customHeight="1" x14ac:dyDescent="0.25">
      <c r="A14" s="17" t="s">
        <v>82</v>
      </c>
      <c r="B14" s="54"/>
      <c r="C14" s="54"/>
      <c r="D14" s="54"/>
      <c r="E14" s="54"/>
      <c r="F14" s="54">
        <f>2/24.125</f>
        <v>8.2901554404145081E-2</v>
      </c>
      <c r="G14" s="54"/>
      <c r="H14" s="54"/>
      <c r="I14" s="54"/>
      <c r="J14" s="54"/>
    </row>
    <row r="15" spans="1:10" ht="15" customHeight="1" x14ac:dyDescent="0.25">
      <c r="A15" s="17" t="s">
        <v>128</v>
      </c>
      <c r="B15" s="54"/>
      <c r="C15" s="54">
        <f>1/24.25</f>
        <v>4.1237113402061855E-2</v>
      </c>
      <c r="D15" s="54"/>
      <c r="E15" s="54"/>
      <c r="F15" s="54">
        <f>1/24.125</f>
        <v>4.145077720207254E-2</v>
      </c>
      <c r="G15" s="54"/>
      <c r="H15" s="54"/>
      <c r="I15" s="54">
        <f>0.25/22.5</f>
        <v>1.1111111111111112E-2</v>
      </c>
      <c r="J15" s="54"/>
    </row>
    <row r="16" spans="1:10" ht="15" customHeight="1" x14ac:dyDescent="0.25">
      <c r="A16" s="17" t="s">
        <v>155</v>
      </c>
      <c r="B16" s="54"/>
      <c r="C16" s="54"/>
      <c r="D16" s="54"/>
      <c r="E16" s="54"/>
      <c r="F16" s="54">
        <f>0.125/24.125</f>
        <v>5.1813471502590676E-3</v>
      </c>
      <c r="G16" s="54"/>
      <c r="H16" s="54"/>
      <c r="I16" s="54"/>
      <c r="J16" s="54"/>
    </row>
    <row r="17" spans="1:10" ht="15" customHeight="1" x14ac:dyDescent="0.25">
      <c r="A17" s="17" t="s">
        <v>568</v>
      </c>
      <c r="B17" s="54">
        <f>5/59</f>
        <v>8.4745762711864403E-2</v>
      </c>
      <c r="C17" s="54"/>
      <c r="D17" s="54"/>
      <c r="E17" s="54"/>
      <c r="F17" s="54">
        <f>3/24.125</f>
        <v>0.12435233160621761</v>
      </c>
      <c r="G17" s="54"/>
      <c r="H17" s="54"/>
      <c r="I17" s="54"/>
      <c r="J17" s="54"/>
    </row>
    <row r="18" spans="1:10" ht="15" customHeight="1" x14ac:dyDescent="0.25">
      <c r="A18" s="17" t="s">
        <v>112</v>
      </c>
      <c r="B18" s="54"/>
      <c r="C18" s="54"/>
      <c r="D18" s="54"/>
      <c r="E18" s="54"/>
      <c r="F18" s="54"/>
      <c r="G18" s="54">
        <f>10/37</f>
        <v>0.27027027027027029</v>
      </c>
      <c r="H18" s="54"/>
      <c r="I18" s="54"/>
      <c r="J18" s="54"/>
    </row>
    <row r="19" spans="1:10" ht="15" customHeight="1" x14ac:dyDescent="0.25">
      <c r="A19" s="17" t="s">
        <v>269</v>
      </c>
      <c r="B19" s="54"/>
      <c r="C19" s="54"/>
      <c r="D19" s="54"/>
      <c r="E19" s="54"/>
      <c r="F19" s="54"/>
      <c r="G19" s="54">
        <f t="shared" ref="G19:G21" si="1">1/37</f>
        <v>2.7027027027027029E-2</v>
      </c>
      <c r="H19" s="54"/>
      <c r="I19" s="54">
        <f>1/22.5</f>
        <v>4.4444444444444446E-2</v>
      </c>
      <c r="J19" s="54"/>
    </row>
    <row r="20" spans="1:10" ht="15" customHeight="1" x14ac:dyDescent="0.25">
      <c r="A20" s="17" t="s">
        <v>134</v>
      </c>
      <c r="B20" s="54"/>
      <c r="C20" s="54"/>
      <c r="D20" s="54"/>
      <c r="E20" s="54"/>
      <c r="F20" s="54"/>
      <c r="G20" s="54">
        <f t="shared" si="1"/>
        <v>2.7027027027027029E-2</v>
      </c>
      <c r="H20" s="54">
        <f>1.4/25.9</f>
        <v>5.4054054054054057E-2</v>
      </c>
      <c r="I20" s="54">
        <f t="shared" ref="I20:I21" si="2">0.25/22.5</f>
        <v>1.1111111111111112E-2</v>
      </c>
      <c r="J20" s="54"/>
    </row>
    <row r="21" spans="1:10" ht="15" customHeight="1" x14ac:dyDescent="0.25">
      <c r="A21" s="17" t="s">
        <v>165</v>
      </c>
      <c r="B21" s="54">
        <f>2/59</f>
        <v>3.3898305084745763E-2</v>
      </c>
      <c r="C21" s="54"/>
      <c r="D21" s="54"/>
      <c r="E21" s="54"/>
      <c r="F21" s="54"/>
      <c r="G21" s="54">
        <f t="shared" si="1"/>
        <v>2.7027027027027029E-2</v>
      </c>
      <c r="H21" s="54">
        <f>0.6/25.9</f>
        <v>2.3166023166023165E-2</v>
      </c>
      <c r="I21" s="54">
        <f t="shared" si="2"/>
        <v>1.1111111111111112E-2</v>
      </c>
      <c r="J21" s="54"/>
    </row>
    <row r="22" spans="1:10" ht="15" customHeight="1" x14ac:dyDescent="0.25">
      <c r="A22" s="17" t="s">
        <v>127</v>
      </c>
      <c r="B22" s="54"/>
      <c r="C22" s="54"/>
      <c r="D22" s="54"/>
      <c r="E22" s="54"/>
      <c r="F22" s="54"/>
      <c r="G22" s="54"/>
      <c r="H22" s="54">
        <f>0.8/25.9</f>
        <v>3.0888030888030892E-2</v>
      </c>
      <c r="I22" s="54"/>
      <c r="J22" s="54"/>
    </row>
    <row r="23" spans="1:10" ht="15" customHeight="1" x14ac:dyDescent="0.25">
      <c r="A23" s="17" t="s">
        <v>14</v>
      </c>
      <c r="B23" s="54">
        <f>50/59</f>
        <v>0.84745762711864403</v>
      </c>
      <c r="C23" s="54"/>
      <c r="D23" s="54"/>
      <c r="E23" s="54"/>
      <c r="F23" s="54"/>
      <c r="G23" s="54"/>
      <c r="H23" s="54"/>
      <c r="I23" s="54">
        <f>13/22.5</f>
        <v>0.57777777777777772</v>
      </c>
      <c r="J23" s="56">
        <v>0.32</v>
      </c>
    </row>
    <row r="24" spans="1:10" ht="15" customHeight="1" x14ac:dyDescent="0.25">
      <c r="A24" s="17" t="s">
        <v>313</v>
      </c>
      <c r="B24" s="54"/>
      <c r="C24" s="54"/>
      <c r="D24" s="54"/>
      <c r="E24" s="54"/>
      <c r="F24" s="54"/>
      <c r="G24" s="54"/>
      <c r="H24" s="54"/>
      <c r="I24" s="54">
        <f>0.5/22.5</f>
        <v>2.2222222222222223E-2</v>
      </c>
      <c r="J24" s="54"/>
    </row>
    <row r="25" spans="1:10" ht="15" customHeight="1" x14ac:dyDescent="0.25">
      <c r="A25" s="17" t="s">
        <v>123</v>
      </c>
      <c r="B25" s="54"/>
      <c r="C25" s="54"/>
      <c r="D25" s="54"/>
      <c r="E25" s="54"/>
      <c r="F25" s="54"/>
      <c r="G25" s="54"/>
      <c r="H25" s="54"/>
      <c r="I25" s="54">
        <f>0.25/22.5</f>
        <v>1.1111111111111112E-2</v>
      </c>
      <c r="J25" s="54"/>
    </row>
    <row r="26" spans="1:10" ht="15" customHeight="1" x14ac:dyDescent="0.25">
      <c r="A26" s="48" t="s">
        <v>34</v>
      </c>
      <c r="B26" s="54">
        <f>2/59</f>
        <v>3.3898305084745763E-2</v>
      </c>
      <c r="C26" s="54"/>
      <c r="D26" s="54"/>
      <c r="E26" s="54"/>
      <c r="F26" s="54"/>
      <c r="G26" s="54"/>
      <c r="H26" s="54"/>
      <c r="I26" s="54"/>
      <c r="J26" s="54"/>
    </row>
    <row r="27" spans="1:10" ht="15" customHeight="1" x14ac:dyDescent="0.25">
      <c r="A27" s="48" t="s">
        <v>19</v>
      </c>
      <c r="B27" s="54"/>
      <c r="C27" s="54">
        <f>22/24.25</f>
        <v>0.90721649484536082</v>
      </c>
      <c r="D27" s="54"/>
      <c r="E27" s="54"/>
      <c r="F27" s="54"/>
      <c r="G27" s="54"/>
      <c r="H27" s="54"/>
      <c r="I27" s="54"/>
      <c r="J27" s="54"/>
    </row>
    <row r="28" spans="1:10" ht="15" customHeight="1" x14ac:dyDescent="0.25">
      <c r="A28" s="48" t="s">
        <v>285</v>
      </c>
      <c r="B28" s="54"/>
      <c r="C28" s="54">
        <f>1/24.25</f>
        <v>4.1237113402061855E-2</v>
      </c>
      <c r="D28" s="54"/>
      <c r="E28" s="54"/>
      <c r="F28" s="54"/>
      <c r="G28" s="54"/>
      <c r="H28" s="54"/>
      <c r="I28" s="54"/>
      <c r="J28" s="54"/>
    </row>
    <row r="29" spans="1:10" ht="15" customHeight="1" x14ac:dyDescent="0.25">
      <c r="A29" s="48" t="s">
        <v>237</v>
      </c>
      <c r="B29" s="54"/>
      <c r="C29" s="54"/>
      <c r="D29" s="54"/>
      <c r="E29" s="54"/>
      <c r="F29" s="54"/>
      <c r="G29" s="54"/>
      <c r="H29" s="54"/>
      <c r="I29" s="54"/>
      <c r="J29" s="56">
        <v>5.1999999999999998E-2</v>
      </c>
    </row>
    <row r="30" spans="1:10" ht="15" customHeight="1" x14ac:dyDescent="0.25">
      <c r="A30" s="48" t="s">
        <v>316</v>
      </c>
      <c r="B30" s="54"/>
      <c r="C30" s="54"/>
      <c r="D30" s="54"/>
      <c r="E30" s="54"/>
      <c r="F30" s="54"/>
      <c r="G30" s="54"/>
      <c r="H30" s="54"/>
      <c r="I30" s="54"/>
      <c r="J30" s="56">
        <v>5.1999999999999998E-2</v>
      </c>
    </row>
    <row r="31" spans="1:10" ht="15" customHeight="1" x14ac:dyDescent="0.25">
      <c r="A31" s="48" t="s">
        <v>390</v>
      </c>
      <c r="B31" s="54"/>
      <c r="C31" s="54"/>
      <c r="D31" s="54"/>
      <c r="E31" s="54"/>
      <c r="F31" s="54"/>
      <c r="G31" s="54"/>
      <c r="H31" s="54"/>
      <c r="I31" s="54"/>
      <c r="J31" s="56">
        <v>5.1999999999999998E-2</v>
      </c>
    </row>
    <row r="32" spans="1:10" ht="15" customHeight="1" x14ac:dyDescent="0.25">
      <c r="A32" s="48" t="s">
        <v>153</v>
      </c>
      <c r="B32" s="54"/>
      <c r="C32" s="54"/>
      <c r="D32" s="54"/>
      <c r="E32" s="54"/>
      <c r="F32" s="54"/>
      <c r="G32" s="54"/>
      <c r="H32" s="54"/>
      <c r="I32" s="54"/>
      <c r="J32" s="56">
        <v>1.2999999999999999E-2</v>
      </c>
    </row>
    <row r="33" spans="1:10" ht="15" customHeight="1" x14ac:dyDescent="0.25">
      <c r="A33" s="27"/>
      <c r="B33" s="58"/>
      <c r="C33" s="58"/>
      <c r="D33" s="58"/>
      <c r="E33" s="58"/>
      <c r="F33" s="58"/>
      <c r="G33" s="58"/>
      <c r="H33" s="58"/>
      <c r="I33" s="58"/>
      <c r="J33" s="58"/>
    </row>
    <row r="34" spans="1:10" ht="15" customHeight="1" x14ac:dyDescent="0.25">
      <c r="A34" s="17" t="s">
        <v>28</v>
      </c>
      <c r="B34" s="9"/>
      <c r="C34" s="9"/>
      <c r="D34" s="9"/>
      <c r="E34" s="9" t="s">
        <v>206</v>
      </c>
      <c r="F34" s="9" t="s">
        <v>319</v>
      </c>
      <c r="G34" s="9"/>
      <c r="H34" s="9"/>
      <c r="I34" s="9" t="s">
        <v>206</v>
      </c>
      <c r="J34" s="9"/>
    </row>
    <row r="35" spans="1:10" ht="30" customHeight="1" x14ac:dyDescent="0.25">
      <c r="A35" s="17" t="s">
        <v>96</v>
      </c>
      <c r="B35" s="19"/>
      <c r="C35" s="22" t="s">
        <v>571</v>
      </c>
      <c r="D35" s="19"/>
      <c r="E35" s="19" t="s">
        <v>572</v>
      </c>
      <c r="F35" s="19" t="s">
        <v>374</v>
      </c>
      <c r="G35" s="19"/>
      <c r="H35" s="19"/>
      <c r="I35" s="19"/>
      <c r="J35" s="22" t="s">
        <v>98</v>
      </c>
    </row>
    <row r="36" spans="1:10" ht="44.25" customHeight="1" x14ac:dyDescent="0.25">
      <c r="A36" s="18" t="s">
        <v>31</v>
      </c>
      <c r="B36" s="22" t="s">
        <v>226</v>
      </c>
      <c r="C36" s="22" t="s">
        <v>573</v>
      </c>
      <c r="D36" s="19" t="s">
        <v>429</v>
      </c>
      <c r="E36" s="19"/>
      <c r="F36" s="19"/>
      <c r="G36" s="19" t="s">
        <v>575</v>
      </c>
      <c r="H36" s="19" t="s">
        <v>374</v>
      </c>
      <c r="I36" s="19" t="s">
        <v>576</v>
      </c>
      <c r="J36" s="22" t="s">
        <v>98</v>
      </c>
    </row>
    <row r="37" spans="1:10" ht="15" customHeight="1" x14ac:dyDescent="0.25">
      <c r="A37" s="18" t="s">
        <v>39</v>
      </c>
      <c r="B37" s="19"/>
      <c r="C37" s="19"/>
      <c r="D37" s="19"/>
      <c r="E37" s="19"/>
      <c r="F37" s="19" t="s">
        <v>205</v>
      </c>
      <c r="G37" s="19" t="s">
        <v>374</v>
      </c>
      <c r="H37" s="19" t="s">
        <v>374</v>
      </c>
      <c r="I37" s="19"/>
      <c r="J37" s="19"/>
    </row>
    <row r="38" spans="1:10" ht="30" customHeight="1" x14ac:dyDescent="0.25">
      <c r="A38" s="18" t="s">
        <v>40</v>
      </c>
      <c r="B38" s="22" t="s">
        <v>138</v>
      </c>
      <c r="C38" s="19"/>
      <c r="D38" s="19" t="s">
        <v>206</v>
      </c>
      <c r="E38" s="19" t="s">
        <v>196</v>
      </c>
      <c r="F38" s="19"/>
      <c r="G38" s="19" t="s">
        <v>577</v>
      </c>
      <c r="H38" s="19" t="s">
        <v>138</v>
      </c>
      <c r="I38" s="19"/>
      <c r="J38" s="19"/>
    </row>
    <row r="39" spans="1:10" ht="15" customHeight="1" x14ac:dyDescent="0.25">
      <c r="A39" s="18" t="s">
        <v>85</v>
      </c>
      <c r="B39" s="22" t="s">
        <v>226</v>
      </c>
      <c r="C39" s="19"/>
      <c r="D39" s="19"/>
      <c r="E39" s="19"/>
      <c r="F39" s="19" t="s">
        <v>320</v>
      </c>
      <c r="G39" s="19"/>
      <c r="H39" s="19"/>
      <c r="I39" s="19"/>
      <c r="J39" s="19"/>
    </row>
    <row r="40" spans="1:10" ht="30" customHeight="1" x14ac:dyDescent="0.25">
      <c r="A40" s="18" t="s">
        <v>41</v>
      </c>
      <c r="B40" s="19"/>
      <c r="C40" s="19"/>
      <c r="D40" s="19" t="s">
        <v>205</v>
      </c>
      <c r="E40" s="19"/>
      <c r="F40" s="19"/>
      <c r="G40" s="19" t="s">
        <v>578</v>
      </c>
      <c r="H40" s="19" t="s">
        <v>322</v>
      </c>
      <c r="I40" s="19" t="s">
        <v>138</v>
      </c>
      <c r="J40" s="19"/>
    </row>
    <row r="41" spans="1:10" ht="15" customHeight="1" x14ac:dyDescent="0.25">
      <c r="A41" s="18" t="s">
        <v>43</v>
      </c>
      <c r="B41" s="22" t="s">
        <v>138</v>
      </c>
      <c r="C41" s="19"/>
      <c r="D41" s="19"/>
      <c r="E41" s="19" t="s">
        <v>206</v>
      </c>
      <c r="F41" s="19" t="s">
        <v>206</v>
      </c>
      <c r="G41" s="19"/>
      <c r="H41" s="19"/>
      <c r="I41" s="19"/>
      <c r="J41" s="19"/>
    </row>
    <row r="42" spans="1:10" ht="15" customHeight="1" x14ac:dyDescent="0.25">
      <c r="A42" s="18" t="s">
        <v>44</v>
      </c>
      <c r="B42" s="19"/>
      <c r="C42" s="19"/>
      <c r="D42" s="19" t="s">
        <v>206</v>
      </c>
      <c r="E42" s="19"/>
      <c r="F42" s="19"/>
      <c r="G42" s="19"/>
      <c r="H42" s="19"/>
      <c r="I42" s="19"/>
      <c r="J42" s="19"/>
    </row>
    <row r="43" spans="1:10" ht="45" customHeight="1" x14ac:dyDescent="0.25">
      <c r="A43" s="18" t="s">
        <v>45</v>
      </c>
      <c r="B43" s="22" t="s">
        <v>49</v>
      </c>
      <c r="C43" s="22" t="s">
        <v>579</v>
      </c>
      <c r="D43" s="19" t="s">
        <v>205</v>
      </c>
      <c r="E43" s="19" t="s">
        <v>323</v>
      </c>
      <c r="F43" s="19" t="s">
        <v>138</v>
      </c>
      <c r="G43" s="19" t="s">
        <v>431</v>
      </c>
      <c r="H43" s="19"/>
      <c r="I43" s="19" t="s">
        <v>580</v>
      </c>
      <c r="J43" s="22" t="s">
        <v>581</v>
      </c>
    </row>
    <row r="44" spans="1:10" ht="45" customHeight="1" x14ac:dyDescent="0.25">
      <c r="A44" s="18" t="s">
        <v>52</v>
      </c>
      <c r="B44" s="22" t="s">
        <v>226</v>
      </c>
      <c r="C44" s="19"/>
      <c r="D44" s="19" t="s">
        <v>582</v>
      </c>
      <c r="E44" s="19"/>
      <c r="F44" s="19" t="s">
        <v>578</v>
      </c>
      <c r="G44" s="19" t="s">
        <v>431</v>
      </c>
      <c r="H44" s="19" t="s">
        <v>583</v>
      </c>
      <c r="I44" s="19" t="s">
        <v>431</v>
      </c>
      <c r="J44" s="19"/>
    </row>
    <row r="45" spans="1:10" ht="15" customHeight="1" x14ac:dyDescent="0.25">
      <c r="A45" s="58"/>
      <c r="B45" s="4"/>
      <c r="C45" s="4"/>
      <c r="D45" s="4"/>
      <c r="E45" s="4"/>
      <c r="F45" s="4"/>
      <c r="G45" s="4"/>
      <c r="H45" s="4"/>
      <c r="I45" s="4"/>
      <c r="J45" s="4"/>
    </row>
    <row r="46" spans="1:10" ht="15" customHeight="1" x14ac:dyDescent="0.25">
      <c r="A46" s="17" t="s">
        <v>53</v>
      </c>
      <c r="B46" s="20">
        <v>1.1140000000000001</v>
      </c>
      <c r="C46" s="20">
        <v>1.099</v>
      </c>
      <c r="D46" s="9">
        <v>1.0880000000000001</v>
      </c>
      <c r="E46" s="9">
        <v>1.1000000000000001</v>
      </c>
      <c r="F46" s="9">
        <v>1.1120000000000001</v>
      </c>
      <c r="G46" s="9">
        <v>1.101</v>
      </c>
      <c r="H46" s="9">
        <v>1.1120000000000001</v>
      </c>
      <c r="I46" s="9">
        <v>1.0900000000000001</v>
      </c>
      <c r="J46" s="20">
        <v>1.1100000000000001</v>
      </c>
    </row>
    <row r="47" spans="1:10" ht="15" customHeight="1" x14ac:dyDescent="0.25">
      <c r="A47" s="17" t="s">
        <v>55</v>
      </c>
      <c r="B47" s="25">
        <v>1.034</v>
      </c>
      <c r="C47" s="25">
        <v>1.02</v>
      </c>
      <c r="D47" s="24">
        <v>1.026</v>
      </c>
      <c r="E47" s="24">
        <v>1.028</v>
      </c>
      <c r="F47" s="24">
        <v>1.022</v>
      </c>
      <c r="G47" s="24">
        <v>1.024</v>
      </c>
      <c r="H47" s="24">
        <v>1.0229999999999999</v>
      </c>
      <c r="I47" s="24">
        <v>1.0189999999999999</v>
      </c>
      <c r="J47" s="25">
        <v>1.0169999999999999</v>
      </c>
    </row>
    <row r="48" spans="1:10" ht="15" customHeight="1" x14ac:dyDescent="0.25">
      <c r="A48" s="17" t="s">
        <v>57</v>
      </c>
      <c r="B48" s="25">
        <v>158</v>
      </c>
      <c r="C48" s="25" t="s">
        <v>584</v>
      </c>
      <c r="D48" s="24">
        <v>150</v>
      </c>
      <c r="E48" s="24">
        <v>152</v>
      </c>
      <c r="F48" s="24">
        <v>152</v>
      </c>
      <c r="G48" s="24">
        <v>151</v>
      </c>
      <c r="H48" s="24">
        <v>150</v>
      </c>
      <c r="I48" s="24">
        <v>149</v>
      </c>
      <c r="J48" s="25">
        <v>159</v>
      </c>
    </row>
    <row r="49" spans="1:10" ht="15" customHeight="1" x14ac:dyDescent="0.25">
      <c r="A49" s="17" t="s">
        <v>58</v>
      </c>
      <c r="B49" s="67">
        <v>1056</v>
      </c>
      <c r="C49" s="67">
        <v>1056</v>
      </c>
      <c r="D49" s="68">
        <v>1056</v>
      </c>
      <c r="E49" s="68" t="s">
        <v>199</v>
      </c>
      <c r="F49" s="68" t="s">
        <v>377</v>
      </c>
      <c r="G49" s="68">
        <v>1056</v>
      </c>
      <c r="H49" s="68" t="s">
        <v>199</v>
      </c>
      <c r="I49" s="68">
        <v>1056</v>
      </c>
      <c r="J49" s="67">
        <v>1056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6" customWidth="1"/>
    <col min="2" max="3" width="13.5703125" customWidth="1"/>
    <col min="4" max="4" width="16" customWidth="1"/>
    <col min="5" max="5" width="13.5703125" customWidth="1"/>
    <col min="6" max="6" width="10.42578125" customWidth="1"/>
    <col min="7" max="7" width="10.85546875" customWidth="1"/>
    <col min="8" max="8" width="13.28515625" customWidth="1"/>
    <col min="9" max="9" width="9.42578125" customWidth="1"/>
    <col min="10" max="10" width="11.85546875" customWidth="1"/>
    <col min="11" max="11" width="12.5703125" customWidth="1"/>
    <col min="12" max="12" width="11.28515625" customWidth="1"/>
    <col min="13" max="13" width="13.85546875" customWidth="1"/>
    <col min="14" max="14" width="10" customWidth="1"/>
    <col min="15" max="15" width="11.5703125" customWidth="1"/>
    <col min="16" max="16" width="9.28515625" customWidth="1"/>
    <col min="17" max="17" width="11.140625" customWidth="1"/>
    <col min="18" max="18" width="10.42578125" customWidth="1"/>
  </cols>
  <sheetData>
    <row r="1" spans="1:18" ht="23.25" customHeight="1" x14ac:dyDescent="0.35">
      <c r="A1" s="3" t="s">
        <v>566</v>
      </c>
      <c r="B1" s="3"/>
      <c r="C1" s="3"/>
      <c r="D1" s="3"/>
      <c r="E1" s="3"/>
      <c r="G1" s="4"/>
      <c r="H1" s="4"/>
      <c r="J1" s="4"/>
      <c r="K1" s="4"/>
      <c r="L1" s="4"/>
      <c r="M1" s="4"/>
      <c r="O1" s="4"/>
    </row>
    <row r="2" spans="1:18" ht="23.25" customHeight="1" x14ac:dyDescent="0.35">
      <c r="A2" s="3"/>
      <c r="B2" s="3"/>
      <c r="C2" s="3"/>
      <c r="D2" s="3"/>
      <c r="E2" s="3"/>
      <c r="G2" s="4"/>
      <c r="H2" s="4"/>
      <c r="J2" s="4"/>
      <c r="K2" s="4"/>
      <c r="L2" s="4"/>
      <c r="M2" s="4"/>
      <c r="O2" s="4"/>
    </row>
    <row r="3" spans="1:18" ht="23.25" customHeight="1" x14ac:dyDescent="0.25">
      <c r="A3" s="4"/>
      <c r="B3" s="52">
        <v>2000</v>
      </c>
      <c r="C3" s="52">
        <v>2001</v>
      </c>
      <c r="D3" s="52">
        <v>2002</v>
      </c>
      <c r="E3" s="52">
        <v>2003</v>
      </c>
      <c r="F3" s="53">
        <v>2004</v>
      </c>
      <c r="G3" s="53">
        <v>2005</v>
      </c>
      <c r="H3" s="53">
        <v>2006</v>
      </c>
      <c r="I3" s="53">
        <v>2007</v>
      </c>
      <c r="J3" s="53">
        <v>2008</v>
      </c>
      <c r="K3" s="53">
        <v>2009</v>
      </c>
      <c r="L3" s="53">
        <v>2010</v>
      </c>
      <c r="M3" s="53">
        <v>2011</v>
      </c>
      <c r="N3" s="53">
        <v>2012</v>
      </c>
      <c r="O3" s="53">
        <v>2013</v>
      </c>
      <c r="P3" s="53">
        <v>2014</v>
      </c>
      <c r="Q3" s="52">
        <v>2015</v>
      </c>
      <c r="R3" s="52">
        <v>2016</v>
      </c>
    </row>
    <row r="4" spans="1:18" ht="15" customHeight="1" x14ac:dyDescent="0.25">
      <c r="A4" s="17" t="s">
        <v>14</v>
      </c>
      <c r="B4" s="54"/>
      <c r="C4" s="54"/>
      <c r="D4" s="54"/>
      <c r="E4" s="54">
        <f>15/17.25</f>
        <v>0.86956521739130432</v>
      </c>
      <c r="F4" s="54">
        <f t="shared" ref="F4:F5" si="0">5/11</f>
        <v>0.45454545454545453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8" ht="15" customHeight="1" x14ac:dyDescent="0.25">
      <c r="A5" s="17" t="s">
        <v>38</v>
      </c>
      <c r="B5" s="54">
        <f>3/20.4</f>
        <v>0.14705882352941177</v>
      </c>
      <c r="C5" s="54">
        <f>8/39.375</f>
        <v>0.20317460317460317</v>
      </c>
      <c r="D5" s="54">
        <f>5/17</f>
        <v>0.29411764705882354</v>
      </c>
      <c r="E5" s="54">
        <f>1/17.25</f>
        <v>5.7971014492753624E-2</v>
      </c>
      <c r="F5" s="54">
        <f t="shared" si="0"/>
        <v>0.45454545454545453</v>
      </c>
      <c r="G5" s="54"/>
      <c r="H5" s="54"/>
      <c r="I5" s="54">
        <f>10/20.5</f>
        <v>0.48780487804878048</v>
      </c>
      <c r="J5" s="54">
        <f>9/20</f>
        <v>0.45</v>
      </c>
      <c r="K5" s="54">
        <f>1.5/16</f>
        <v>9.375E-2</v>
      </c>
      <c r="L5" s="54">
        <f>10.5/20.75</f>
        <v>0.50602409638554213</v>
      </c>
      <c r="M5" s="54"/>
      <c r="N5" s="54"/>
      <c r="O5" s="54"/>
      <c r="P5" s="54"/>
      <c r="Q5" s="56">
        <v>0.25</v>
      </c>
      <c r="R5" s="56">
        <v>0.5</v>
      </c>
    </row>
    <row r="6" spans="1:18" ht="15" customHeight="1" x14ac:dyDescent="0.25">
      <c r="A6" s="17" t="s">
        <v>82</v>
      </c>
      <c r="B6" s="54"/>
      <c r="C6" s="54"/>
      <c r="D6" s="54"/>
      <c r="E6" s="54"/>
      <c r="F6" s="54">
        <f>1/11</f>
        <v>9.0909090909090912E-2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8" ht="15" customHeight="1" x14ac:dyDescent="0.25">
      <c r="A7" s="17" t="s">
        <v>19</v>
      </c>
      <c r="B7" s="54"/>
      <c r="C7" s="54">
        <f>15/39.375</f>
        <v>0.38095238095238093</v>
      </c>
      <c r="D7" s="54">
        <f>12/17</f>
        <v>0.70588235294117652</v>
      </c>
      <c r="E7" s="54"/>
      <c r="F7" s="54"/>
      <c r="G7" s="54">
        <f>14/25</f>
        <v>0.56000000000000005</v>
      </c>
      <c r="H7" s="54">
        <f>4/10</f>
        <v>0.4</v>
      </c>
      <c r="I7" s="54"/>
      <c r="J7" s="54">
        <v>0.55000000000000004</v>
      </c>
      <c r="K7" s="54"/>
      <c r="L7" s="54">
        <f>8.25/20.75</f>
        <v>0.39759036144578314</v>
      </c>
      <c r="M7" s="54"/>
      <c r="N7" s="54"/>
      <c r="O7" s="54">
        <f>34/37</f>
        <v>0.91891891891891897</v>
      </c>
      <c r="P7" s="54"/>
      <c r="Q7" s="54"/>
      <c r="R7" s="56">
        <v>0.5</v>
      </c>
    </row>
    <row r="8" spans="1:18" ht="15" customHeight="1" x14ac:dyDescent="0.25">
      <c r="A8" s="17" t="s">
        <v>112</v>
      </c>
      <c r="B8" s="54">
        <f>4/20.4</f>
        <v>0.19607843137254904</v>
      </c>
      <c r="C8" s="54"/>
      <c r="D8" s="54"/>
      <c r="E8" s="54"/>
      <c r="F8" s="54"/>
      <c r="G8" s="54">
        <f>5/25</f>
        <v>0.2</v>
      </c>
      <c r="H8" s="54"/>
      <c r="I8" s="54">
        <f>8.5/20.5</f>
        <v>0.41463414634146339</v>
      </c>
      <c r="J8" s="54"/>
      <c r="K8" s="54"/>
      <c r="L8" s="54"/>
      <c r="M8" s="54">
        <f>16/18</f>
        <v>0.88888888888888884</v>
      </c>
      <c r="N8" s="54">
        <f>23/30.25</f>
        <v>0.76033057851239672</v>
      </c>
      <c r="O8" s="54"/>
      <c r="P8" s="54"/>
      <c r="Q8" s="56">
        <v>0.55000000000000004</v>
      </c>
      <c r="R8" s="56"/>
    </row>
    <row r="9" spans="1:18" ht="15" customHeight="1" x14ac:dyDescent="0.25">
      <c r="A9" s="17" t="s">
        <v>24</v>
      </c>
      <c r="B9" s="54"/>
      <c r="C9" s="54"/>
      <c r="D9" s="54"/>
      <c r="E9" s="54">
        <f>1/17.25</f>
        <v>5.7971014492753624E-2</v>
      </c>
      <c r="F9" s="54"/>
      <c r="G9" s="54">
        <f t="shared" ref="G9:G11" si="1">2/25</f>
        <v>0.08</v>
      </c>
      <c r="H9" s="54"/>
      <c r="I9" s="54"/>
      <c r="J9" s="54"/>
      <c r="K9" s="54"/>
      <c r="L9" s="54">
        <f>2/20.75</f>
        <v>9.6385542168674704E-2</v>
      </c>
      <c r="M9" s="54"/>
      <c r="N9" s="54"/>
      <c r="O9" s="54">
        <f>2/37</f>
        <v>5.4054054054054057E-2</v>
      </c>
      <c r="P9" s="54"/>
      <c r="Q9" s="54"/>
      <c r="R9" s="54"/>
    </row>
    <row r="10" spans="1:18" ht="15" customHeight="1" x14ac:dyDescent="0.25">
      <c r="A10" s="17" t="s">
        <v>384</v>
      </c>
      <c r="B10" s="54">
        <f>2/20.4</f>
        <v>9.8039215686274522E-2</v>
      </c>
      <c r="C10" s="54"/>
      <c r="D10" s="54"/>
      <c r="E10" s="54"/>
      <c r="F10" s="54"/>
      <c r="G10" s="54">
        <f t="shared" si="1"/>
        <v>0.08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8" ht="15" customHeight="1" x14ac:dyDescent="0.25">
      <c r="A11" s="17" t="s">
        <v>17</v>
      </c>
      <c r="B11" s="54"/>
      <c r="C11" s="54"/>
      <c r="D11" s="54"/>
      <c r="E11" s="54"/>
      <c r="F11" s="54"/>
      <c r="G11" s="54">
        <f t="shared" si="1"/>
        <v>0.08</v>
      </c>
      <c r="H11" s="54"/>
      <c r="I11" s="54">
        <f>2/20.5</f>
        <v>9.7560975609756101E-2</v>
      </c>
      <c r="J11" s="54"/>
      <c r="K11" s="54"/>
      <c r="L11" s="54"/>
      <c r="M11" s="54"/>
      <c r="N11" s="54"/>
      <c r="O11" s="54"/>
      <c r="P11" s="54"/>
      <c r="Q11" s="54"/>
      <c r="R11" s="54"/>
    </row>
    <row r="12" spans="1:18" ht="15" customHeight="1" x14ac:dyDescent="0.25">
      <c r="A12" s="17" t="s">
        <v>16</v>
      </c>
      <c r="B12" s="54">
        <f>4/20.4</f>
        <v>0.19607843137254904</v>
      </c>
      <c r="C12" s="54"/>
      <c r="D12" s="54"/>
      <c r="E12" s="54"/>
      <c r="F12" s="54"/>
      <c r="G12" s="54"/>
      <c r="H12" s="54">
        <f>4/10</f>
        <v>0.4</v>
      </c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1:18" ht="15" customHeight="1" x14ac:dyDescent="0.25">
      <c r="A13" s="17" t="s">
        <v>25</v>
      </c>
      <c r="B13" s="54"/>
      <c r="C13" s="54"/>
      <c r="D13" s="54"/>
      <c r="E13" s="54"/>
      <c r="F13" s="54"/>
      <c r="G13" s="54"/>
      <c r="H13" s="54">
        <f>2/10</f>
        <v>0.2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1:18" ht="15" customHeight="1" x14ac:dyDescent="0.25">
      <c r="A14" s="17" t="s">
        <v>163</v>
      </c>
      <c r="B14" s="54"/>
      <c r="C14" s="54"/>
      <c r="D14" s="54"/>
      <c r="E14" s="54"/>
      <c r="F14" s="54"/>
      <c r="G14" s="54"/>
      <c r="H14" s="54"/>
      <c r="I14" s="54"/>
      <c r="J14" s="54"/>
      <c r="K14" s="54">
        <f t="shared" ref="K14:K15" si="2">2/16</f>
        <v>0.125</v>
      </c>
      <c r="L14" s="54"/>
      <c r="M14" s="54"/>
      <c r="N14" s="54"/>
      <c r="O14" s="54"/>
      <c r="P14" s="54"/>
      <c r="Q14" s="54"/>
      <c r="R14" s="54"/>
    </row>
    <row r="15" spans="1:18" ht="15" customHeight="1" x14ac:dyDescent="0.25">
      <c r="A15" s="17" t="s">
        <v>233</v>
      </c>
      <c r="B15" s="54"/>
      <c r="C15" s="54"/>
      <c r="D15" s="54"/>
      <c r="E15" s="54"/>
      <c r="F15" s="54"/>
      <c r="G15" s="54"/>
      <c r="H15" s="54"/>
      <c r="I15" s="54"/>
      <c r="J15" s="54"/>
      <c r="K15" s="54">
        <f t="shared" si="2"/>
        <v>0.125</v>
      </c>
      <c r="L15" s="54"/>
      <c r="M15" s="54"/>
      <c r="N15" s="54"/>
      <c r="O15" s="54"/>
      <c r="P15" s="54"/>
      <c r="Q15" s="54"/>
      <c r="R15" s="54"/>
    </row>
    <row r="16" spans="1:18" ht="15" customHeight="1" x14ac:dyDescent="0.25">
      <c r="A16" s="17" t="s">
        <v>131</v>
      </c>
      <c r="B16" s="54"/>
      <c r="C16" s="54"/>
      <c r="D16" s="54"/>
      <c r="E16" s="54"/>
      <c r="F16" s="54"/>
      <c r="G16" s="54"/>
      <c r="H16" s="54"/>
      <c r="I16" s="54"/>
      <c r="J16" s="54"/>
      <c r="K16" s="54">
        <f>3/16</f>
        <v>0.1875</v>
      </c>
      <c r="L16" s="54"/>
      <c r="M16" s="54"/>
      <c r="N16" s="54"/>
      <c r="O16" s="54"/>
      <c r="P16" s="54"/>
      <c r="Q16" s="54"/>
      <c r="R16" s="54"/>
    </row>
    <row r="17" spans="1:18" ht="15" customHeight="1" x14ac:dyDescent="0.25">
      <c r="A17" s="17" t="s">
        <v>574</v>
      </c>
      <c r="B17" s="54"/>
      <c r="C17" s="54"/>
      <c r="D17" s="54"/>
      <c r="E17" s="54"/>
      <c r="F17" s="54"/>
      <c r="G17" s="54"/>
      <c r="H17" s="54"/>
      <c r="I17" s="54"/>
      <c r="J17" s="54"/>
      <c r="K17" s="54">
        <f>1.5/16</f>
        <v>9.375E-2</v>
      </c>
      <c r="L17" s="54"/>
      <c r="M17" s="54"/>
      <c r="N17" s="54"/>
      <c r="O17" s="54"/>
      <c r="P17" s="54"/>
      <c r="Q17" s="54"/>
      <c r="R17" s="54"/>
    </row>
    <row r="18" spans="1:18" ht="15" customHeight="1" x14ac:dyDescent="0.25">
      <c r="A18" s="17" t="s">
        <v>127</v>
      </c>
      <c r="B18" s="54"/>
      <c r="C18" s="54"/>
      <c r="D18" s="54"/>
      <c r="E18" s="54"/>
      <c r="F18" s="54"/>
      <c r="G18" s="54"/>
      <c r="H18" s="54"/>
      <c r="I18" s="54"/>
      <c r="J18" s="54"/>
      <c r="K18" s="54">
        <f t="shared" ref="K18:K20" si="3">1/16</f>
        <v>6.25E-2</v>
      </c>
      <c r="L18" s="54"/>
      <c r="M18" s="54"/>
      <c r="N18" s="54"/>
      <c r="O18" s="54"/>
      <c r="P18" s="54"/>
      <c r="Q18" s="54"/>
      <c r="R18" s="54"/>
    </row>
    <row r="19" spans="1:18" ht="15" customHeight="1" x14ac:dyDescent="0.25">
      <c r="A19" s="17" t="s">
        <v>294</v>
      </c>
      <c r="B19" s="54"/>
      <c r="C19" s="54"/>
      <c r="D19" s="54"/>
      <c r="E19" s="54"/>
      <c r="F19" s="54"/>
      <c r="G19" s="54"/>
      <c r="H19" s="54"/>
      <c r="I19" s="54"/>
      <c r="J19" s="54"/>
      <c r="K19" s="54">
        <f t="shared" si="3"/>
        <v>6.25E-2</v>
      </c>
      <c r="L19" s="54"/>
      <c r="M19" s="54"/>
      <c r="N19" s="54"/>
      <c r="O19" s="54"/>
      <c r="P19" s="54"/>
      <c r="Q19" s="54"/>
      <c r="R19" s="54"/>
    </row>
    <row r="20" spans="1:18" ht="15" customHeight="1" x14ac:dyDescent="0.25">
      <c r="A20" s="17" t="s">
        <v>250</v>
      </c>
      <c r="B20" s="54"/>
      <c r="C20" s="54"/>
      <c r="D20" s="54"/>
      <c r="E20" s="54"/>
      <c r="F20" s="54"/>
      <c r="G20" s="54"/>
      <c r="H20" s="54"/>
      <c r="I20" s="54"/>
      <c r="J20" s="54"/>
      <c r="K20" s="54">
        <f t="shared" si="3"/>
        <v>6.25E-2</v>
      </c>
      <c r="L20" s="54"/>
      <c r="M20" s="54"/>
      <c r="N20" s="54"/>
      <c r="O20" s="54"/>
      <c r="P20" s="54"/>
      <c r="Q20" s="54"/>
      <c r="R20" s="54"/>
    </row>
    <row r="21" spans="1:18" ht="15" customHeight="1" x14ac:dyDescent="0.25">
      <c r="A21" s="17" t="s">
        <v>155</v>
      </c>
      <c r="B21" s="54"/>
      <c r="C21" s="54"/>
      <c r="D21" s="54"/>
      <c r="E21" s="54"/>
      <c r="F21" s="54"/>
      <c r="G21" s="54"/>
      <c r="H21" s="54"/>
      <c r="I21" s="54"/>
      <c r="J21" s="54"/>
      <c r="K21" s="54">
        <f>0.75/16</f>
        <v>4.6875E-2</v>
      </c>
      <c r="L21" s="54"/>
      <c r="M21" s="54"/>
      <c r="N21" s="54"/>
      <c r="O21" s="54"/>
      <c r="P21" s="54">
        <f>0.5/16.25</f>
        <v>3.0769230769230771E-2</v>
      </c>
      <c r="Q21" s="54"/>
      <c r="R21" s="54"/>
    </row>
    <row r="22" spans="1:18" ht="15" customHeight="1" x14ac:dyDescent="0.25">
      <c r="A22" s="17" t="s">
        <v>174</v>
      </c>
      <c r="B22" s="54"/>
      <c r="C22" s="54"/>
      <c r="D22" s="54"/>
      <c r="E22" s="54"/>
      <c r="F22" s="54"/>
      <c r="G22" s="54"/>
      <c r="H22" s="54"/>
      <c r="I22" s="54"/>
      <c r="J22" s="54"/>
      <c r="K22" s="54">
        <f>0.25/16</f>
        <v>1.5625E-2</v>
      </c>
      <c r="L22" s="54"/>
      <c r="M22" s="54"/>
      <c r="N22" s="54"/>
      <c r="O22" s="54"/>
      <c r="P22" s="54">
        <f>1/16.25</f>
        <v>6.1538461538461542E-2</v>
      </c>
      <c r="Q22" s="54"/>
      <c r="R22" s="54"/>
    </row>
    <row r="23" spans="1:18" ht="15" customHeight="1" x14ac:dyDescent="0.25">
      <c r="A23" s="17" t="s">
        <v>214</v>
      </c>
      <c r="B23" s="54"/>
      <c r="C23" s="54"/>
      <c r="D23" s="54"/>
      <c r="E23" s="54"/>
      <c r="F23" s="54"/>
      <c r="G23" s="54"/>
      <c r="H23" s="54"/>
      <c r="I23" s="54"/>
      <c r="J23" s="54"/>
      <c r="K23" s="54">
        <f>2/16</f>
        <v>0.125</v>
      </c>
      <c r="L23" s="54"/>
      <c r="M23" s="54"/>
      <c r="N23" s="54"/>
      <c r="O23" s="54"/>
      <c r="P23" s="54">
        <f>12/16.25</f>
        <v>0.7384615384615385</v>
      </c>
      <c r="Q23" s="54"/>
      <c r="R23" s="54"/>
    </row>
    <row r="24" spans="1:18" ht="15" customHeight="1" x14ac:dyDescent="0.25">
      <c r="A24" s="17" t="s">
        <v>157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>
        <f>0.5/18</f>
        <v>2.7777777777777776E-2</v>
      </c>
      <c r="N24" s="54"/>
      <c r="O24" s="54"/>
      <c r="P24" s="54"/>
      <c r="Q24" s="54"/>
      <c r="R24" s="54"/>
    </row>
    <row r="25" spans="1:18" ht="15" customHeight="1" x14ac:dyDescent="0.25">
      <c r="A25" s="17" t="s">
        <v>471</v>
      </c>
      <c r="B25" s="54"/>
      <c r="C25" s="54">
        <f>0.5/39.375</f>
        <v>1.2698412698412698E-2</v>
      </c>
      <c r="D25" s="54"/>
      <c r="E25" s="54"/>
      <c r="F25" s="54"/>
      <c r="G25" s="54"/>
      <c r="H25" s="54"/>
      <c r="I25" s="54"/>
      <c r="J25" s="54"/>
      <c r="K25" s="54"/>
      <c r="L25" s="54"/>
      <c r="M25" s="54">
        <f>1/18</f>
        <v>5.5555555555555552E-2</v>
      </c>
      <c r="N25" s="54"/>
      <c r="O25" s="54"/>
      <c r="P25" s="54"/>
      <c r="Q25" s="56"/>
      <c r="R25" s="56"/>
    </row>
    <row r="26" spans="1:18" ht="15" customHeight="1" x14ac:dyDescent="0.25">
      <c r="A26" s="17" t="s">
        <v>72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>
        <f>0.5/18</f>
        <v>2.7777777777777776E-2</v>
      </c>
      <c r="N26" s="54"/>
      <c r="O26" s="54"/>
      <c r="P26" s="54"/>
      <c r="Q26" s="54"/>
      <c r="R26" s="54"/>
    </row>
    <row r="27" spans="1:18" ht="15" customHeight="1" x14ac:dyDescent="0.25">
      <c r="A27" s="17" t="s">
        <v>291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>
        <f>0.5/30.25</f>
        <v>1.6528925619834711E-2</v>
      </c>
      <c r="O27" s="54"/>
      <c r="P27" s="54"/>
      <c r="Q27" s="54"/>
      <c r="R27" s="54"/>
    </row>
    <row r="28" spans="1:18" ht="15" customHeight="1" x14ac:dyDescent="0.25">
      <c r="A28" s="17" t="s">
        <v>283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>
        <f>2.25/30.25</f>
        <v>7.43801652892562E-2</v>
      </c>
      <c r="O28" s="4"/>
      <c r="P28" s="54"/>
      <c r="Q28" s="54"/>
      <c r="R28" s="54"/>
    </row>
    <row r="29" spans="1:18" ht="15" customHeight="1" x14ac:dyDescent="0.25">
      <c r="A29" s="17" t="s">
        <v>167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>
        <f>3/30.25</f>
        <v>9.9173553719008267E-2</v>
      </c>
      <c r="O29" s="54"/>
      <c r="P29" s="54"/>
      <c r="Q29" s="54"/>
      <c r="R29" s="54"/>
    </row>
    <row r="30" spans="1:18" ht="15" customHeight="1" x14ac:dyDescent="0.25">
      <c r="A30" s="17" t="s">
        <v>134</v>
      </c>
      <c r="B30" s="54"/>
      <c r="C30" s="54"/>
      <c r="D30" s="54"/>
      <c r="E30" s="54">
        <f>0.25/17.25</f>
        <v>1.4492753623188406E-2</v>
      </c>
      <c r="F30" s="54"/>
      <c r="G30" s="54"/>
      <c r="H30" s="54"/>
      <c r="I30" s="54"/>
      <c r="J30" s="54"/>
      <c r="K30" s="54"/>
      <c r="L30" s="54"/>
      <c r="M30" s="54"/>
      <c r="N30" s="54">
        <f>1.5/30.25</f>
        <v>4.9586776859504134E-2</v>
      </c>
      <c r="O30" s="54"/>
      <c r="P30" s="54"/>
      <c r="Q30" s="54"/>
      <c r="R30" s="54"/>
    </row>
    <row r="31" spans="1:18" ht="15" customHeight="1" x14ac:dyDescent="0.25">
      <c r="A31" s="17" t="s">
        <v>74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>
        <f>1/37</f>
        <v>2.7027027027027029E-2</v>
      </c>
      <c r="P31" s="54"/>
      <c r="Q31" s="54"/>
      <c r="R31" s="54"/>
    </row>
    <row r="32" spans="1:18" ht="15" customHeight="1" x14ac:dyDescent="0.25">
      <c r="A32" s="17" t="s">
        <v>118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>
        <f>1/16.25</f>
        <v>6.1538461538461542E-2</v>
      </c>
      <c r="Q32" s="56">
        <v>0.1</v>
      </c>
      <c r="R32" s="56"/>
    </row>
    <row r="33" spans="1:18" ht="15" customHeight="1" x14ac:dyDescent="0.25">
      <c r="A33" s="17" t="s">
        <v>165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>
        <f>0.75/16.25</f>
        <v>4.6153846153846156E-2</v>
      </c>
      <c r="Q33" s="54"/>
      <c r="R33" s="54"/>
    </row>
    <row r="34" spans="1:18" ht="15" customHeight="1" x14ac:dyDescent="0.25">
      <c r="A34" s="17" t="s">
        <v>586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>
        <f>1/16.25</f>
        <v>6.1538461538461542E-2</v>
      </c>
      <c r="Q34" s="54"/>
      <c r="R34" s="54"/>
    </row>
    <row r="35" spans="1:18" ht="15" customHeight="1" x14ac:dyDescent="0.25">
      <c r="A35" s="48" t="s">
        <v>135</v>
      </c>
      <c r="B35" s="54">
        <f>6.4/20.4</f>
        <v>0.31372549019607848</v>
      </c>
      <c r="C35" s="54">
        <f>12/39.375</f>
        <v>0.30476190476190479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</row>
    <row r="36" spans="1:18" ht="15" customHeight="1" x14ac:dyDescent="0.25">
      <c r="A36" s="48" t="s">
        <v>32</v>
      </c>
      <c r="B36" s="54">
        <f>1/20.4</f>
        <v>4.9019607843137261E-2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</row>
    <row r="37" spans="1:18" ht="15" customHeight="1" x14ac:dyDescent="0.25">
      <c r="A37" s="48" t="s">
        <v>175</v>
      </c>
      <c r="B37" s="54"/>
      <c r="C37" s="54">
        <f>3.25/39.375</f>
        <v>8.2539682539682538E-2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1:18" ht="15" customHeight="1" x14ac:dyDescent="0.25">
      <c r="A38" s="48" t="s">
        <v>587</v>
      </c>
      <c r="B38" s="54"/>
      <c r="C38" s="54">
        <f>(10/16)/39.375</f>
        <v>1.5873015873015872E-2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</row>
    <row r="39" spans="1:18" ht="15" customHeight="1" x14ac:dyDescent="0.25">
      <c r="A39" s="48" t="s">
        <v>21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6">
        <v>0.05</v>
      </c>
      <c r="R39" s="56"/>
    </row>
    <row r="40" spans="1:18" ht="15" customHeight="1" x14ac:dyDescent="0.25">
      <c r="A40" s="48" t="s">
        <v>217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6">
        <v>0.05</v>
      </c>
      <c r="R40" s="56"/>
    </row>
    <row r="41" spans="1:18" ht="15" customHeight="1" x14ac:dyDescent="0.25">
      <c r="A41" s="2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ht="30" customHeight="1" x14ac:dyDescent="0.25">
      <c r="A42" s="17" t="s">
        <v>28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 t="s">
        <v>36</v>
      </c>
      <c r="M42" s="9"/>
      <c r="N42" s="9"/>
      <c r="O42" s="9"/>
      <c r="P42" s="19" t="s">
        <v>195</v>
      </c>
      <c r="Q42" s="22" t="s">
        <v>588</v>
      </c>
      <c r="R42" s="22" t="s">
        <v>205</v>
      </c>
    </row>
    <row r="43" spans="1:18" ht="15" customHeight="1" x14ac:dyDescent="0.25">
      <c r="A43" s="17" t="s">
        <v>96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 t="s">
        <v>223</v>
      </c>
      <c r="O43" s="19"/>
      <c r="P43" s="19"/>
      <c r="Q43" s="19"/>
      <c r="R43" s="19"/>
    </row>
    <row r="44" spans="1:18" ht="48" customHeight="1" x14ac:dyDescent="0.25">
      <c r="A44" s="18" t="s">
        <v>31</v>
      </c>
      <c r="B44" s="22" t="s">
        <v>158</v>
      </c>
      <c r="C44" s="22" t="s">
        <v>49</v>
      </c>
      <c r="D44" s="22" t="s">
        <v>589</v>
      </c>
      <c r="E44" s="22" t="s">
        <v>226</v>
      </c>
      <c r="F44" s="19" t="s">
        <v>243</v>
      </c>
      <c r="G44" s="19" t="s">
        <v>224</v>
      </c>
      <c r="H44" s="19" t="s">
        <v>36</v>
      </c>
      <c r="I44" s="19" t="s">
        <v>206</v>
      </c>
      <c r="J44" s="19"/>
      <c r="K44" s="19" t="s">
        <v>170</v>
      </c>
      <c r="L44" s="19" t="s">
        <v>47</v>
      </c>
      <c r="M44" s="19" t="s">
        <v>590</v>
      </c>
      <c r="N44" s="19"/>
      <c r="O44" s="19" t="s">
        <v>36</v>
      </c>
      <c r="P44" s="19"/>
      <c r="Q44" s="19"/>
      <c r="R44" s="19"/>
    </row>
    <row r="45" spans="1:18" ht="15" customHeight="1" x14ac:dyDescent="0.25">
      <c r="A45" s="18" t="s">
        <v>39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ht="30" customHeight="1" x14ac:dyDescent="0.25">
      <c r="A46" s="18" t="s">
        <v>40</v>
      </c>
      <c r="B46" s="19"/>
      <c r="C46" s="22" t="s">
        <v>49</v>
      </c>
      <c r="D46" s="19"/>
      <c r="E46" s="19"/>
      <c r="F46" s="19" t="s">
        <v>206</v>
      </c>
      <c r="G46" s="19"/>
      <c r="H46" s="19"/>
      <c r="I46" s="19"/>
      <c r="J46" s="19" t="s">
        <v>36</v>
      </c>
      <c r="K46" s="19"/>
      <c r="L46" s="19"/>
      <c r="M46" s="19"/>
      <c r="N46" s="19"/>
      <c r="O46" s="19"/>
      <c r="P46" s="19" t="s">
        <v>195</v>
      </c>
      <c r="Q46" s="19"/>
      <c r="R46" s="19"/>
    </row>
    <row r="47" spans="1:18" ht="15" customHeight="1" x14ac:dyDescent="0.25">
      <c r="A47" s="18" t="s">
        <v>85</v>
      </c>
      <c r="B47" s="19"/>
      <c r="C47" s="19"/>
      <c r="D47" s="19"/>
      <c r="E47" s="19"/>
      <c r="F47" s="19"/>
      <c r="G47" s="19"/>
      <c r="H47" s="19"/>
      <c r="I47" s="19" t="s">
        <v>206</v>
      </c>
      <c r="J47" s="19"/>
      <c r="K47" s="19"/>
      <c r="L47" s="19"/>
      <c r="M47" s="19"/>
      <c r="N47" s="19"/>
      <c r="O47" s="19"/>
      <c r="P47" s="19"/>
      <c r="Q47" s="19"/>
      <c r="R47" s="19"/>
    </row>
    <row r="48" spans="1:18" ht="15" customHeight="1" x14ac:dyDescent="0.25">
      <c r="A48" s="18" t="s">
        <v>41</v>
      </c>
      <c r="B48" s="19"/>
      <c r="C48" s="19"/>
      <c r="D48" s="22" t="s">
        <v>133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2" t="s">
        <v>205</v>
      </c>
    </row>
    <row r="49" spans="1:18" ht="15" customHeight="1" x14ac:dyDescent="0.25">
      <c r="A49" s="18" t="s">
        <v>43</v>
      </c>
      <c r="B49" s="22" t="s">
        <v>36</v>
      </c>
      <c r="C49" s="19"/>
      <c r="D49" s="19"/>
      <c r="E49" s="19"/>
      <c r="F49" s="19"/>
      <c r="G49" s="19"/>
      <c r="H49" s="19"/>
      <c r="I49" s="19"/>
      <c r="J49" s="19"/>
      <c r="K49" s="19" t="s">
        <v>36</v>
      </c>
      <c r="L49" s="19"/>
      <c r="M49" s="19"/>
      <c r="N49" s="19"/>
      <c r="O49" s="19"/>
      <c r="P49" s="19"/>
      <c r="Q49" s="19"/>
      <c r="R49" s="19"/>
    </row>
    <row r="50" spans="1:18" ht="15" customHeight="1" x14ac:dyDescent="0.25">
      <c r="A50" s="18" t="s">
        <v>44</v>
      </c>
      <c r="B50" s="19"/>
      <c r="C50" s="22" t="s">
        <v>48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ht="60" customHeight="1" x14ac:dyDescent="0.25">
      <c r="A51" s="18" t="s">
        <v>45</v>
      </c>
      <c r="B51" s="19"/>
      <c r="C51" s="19"/>
      <c r="D51" s="22" t="s">
        <v>133</v>
      </c>
      <c r="E51" s="19"/>
      <c r="F51" s="19" t="s">
        <v>206</v>
      </c>
      <c r="G51" s="19" t="s">
        <v>36</v>
      </c>
      <c r="H51" s="19"/>
      <c r="I51" s="19"/>
      <c r="J51" s="19"/>
      <c r="K51" s="19" t="s">
        <v>36</v>
      </c>
      <c r="L51" s="19"/>
      <c r="M51" s="19" t="s">
        <v>592</v>
      </c>
      <c r="N51" s="19"/>
      <c r="O51" s="19"/>
      <c r="P51" s="19"/>
      <c r="Q51" s="19"/>
      <c r="R51" s="19"/>
    </row>
    <row r="52" spans="1:18" ht="60" customHeight="1" x14ac:dyDescent="0.25">
      <c r="A52" s="18" t="s">
        <v>52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 t="s">
        <v>592</v>
      </c>
      <c r="N52" s="19"/>
      <c r="O52" s="19"/>
      <c r="P52" s="19"/>
      <c r="Q52" s="19"/>
      <c r="R52" s="19"/>
    </row>
    <row r="53" spans="1:18" ht="15" customHeight="1" x14ac:dyDescent="0.25">
      <c r="A53" s="58"/>
      <c r="G53" s="4"/>
      <c r="H53" s="4"/>
      <c r="J53" s="4"/>
      <c r="K53" s="4"/>
      <c r="L53" s="4"/>
      <c r="M53" s="4"/>
      <c r="O53" s="4"/>
    </row>
    <row r="54" spans="1:18" ht="15" customHeight="1" x14ac:dyDescent="0.25">
      <c r="A54" s="17" t="s">
        <v>53</v>
      </c>
      <c r="B54" s="20">
        <v>1.0549999999999999</v>
      </c>
      <c r="C54" s="20">
        <v>1.0569999999999999</v>
      </c>
      <c r="D54" s="20">
        <v>1.079</v>
      </c>
      <c r="E54" s="20">
        <v>1.0369999999999999</v>
      </c>
      <c r="F54" s="9">
        <v>1.0509999999999999</v>
      </c>
      <c r="G54" s="9">
        <v>1.048</v>
      </c>
      <c r="H54" s="9">
        <v>1.048</v>
      </c>
      <c r="I54" s="9">
        <v>1.046</v>
      </c>
      <c r="J54" s="9">
        <v>1.034</v>
      </c>
      <c r="K54" s="9">
        <v>1.08</v>
      </c>
      <c r="L54" s="9">
        <v>1.05</v>
      </c>
      <c r="M54" s="9">
        <v>1.085</v>
      </c>
      <c r="N54" s="9">
        <v>1.0649999999999999</v>
      </c>
      <c r="O54" s="9">
        <v>1.05</v>
      </c>
      <c r="P54" s="9">
        <v>1.048</v>
      </c>
      <c r="Q54" s="20">
        <v>1.0469999999999999</v>
      </c>
      <c r="R54" s="20">
        <v>1.04</v>
      </c>
    </row>
    <row r="55" spans="1:18" ht="15" customHeight="1" x14ac:dyDescent="0.25">
      <c r="A55" s="17" t="s">
        <v>55</v>
      </c>
      <c r="B55" s="25">
        <v>1.008</v>
      </c>
      <c r="C55" s="25">
        <v>1.01</v>
      </c>
      <c r="D55" s="25">
        <v>1.014</v>
      </c>
      <c r="E55" s="25">
        <v>1.008</v>
      </c>
      <c r="F55" s="24">
        <v>1.012</v>
      </c>
      <c r="G55" s="24">
        <v>1.014</v>
      </c>
      <c r="H55" s="24">
        <v>1.016</v>
      </c>
      <c r="I55" s="24">
        <v>1.012</v>
      </c>
      <c r="J55" s="24">
        <v>1.01</v>
      </c>
      <c r="K55" s="24">
        <v>1.024</v>
      </c>
      <c r="L55" s="24">
        <v>1.012</v>
      </c>
      <c r="M55" s="24">
        <v>1.02</v>
      </c>
      <c r="N55" s="24">
        <v>1.0149999999999999</v>
      </c>
      <c r="O55" s="24">
        <v>1.0109999999999999</v>
      </c>
      <c r="P55" s="24">
        <v>1.018</v>
      </c>
      <c r="Q55" s="25">
        <v>1.016</v>
      </c>
      <c r="R55" s="25">
        <v>1.008</v>
      </c>
    </row>
    <row r="56" spans="1:18" ht="15" customHeight="1" x14ac:dyDescent="0.25">
      <c r="A56" s="17" t="s">
        <v>57</v>
      </c>
      <c r="B56" s="25" t="s">
        <v>106</v>
      </c>
      <c r="C56" s="25">
        <v>152</v>
      </c>
      <c r="D56" s="25" t="s">
        <v>593</v>
      </c>
      <c r="E56" s="25">
        <v>151</v>
      </c>
      <c r="F56" s="24">
        <v>152</v>
      </c>
      <c r="G56" s="24">
        <v>152</v>
      </c>
      <c r="H56" s="24">
        <v>152</v>
      </c>
      <c r="I56" s="24">
        <v>150</v>
      </c>
      <c r="J56" s="24">
        <v>150</v>
      </c>
      <c r="K56" s="24" t="s">
        <v>594</v>
      </c>
      <c r="L56" s="24" t="s">
        <v>146</v>
      </c>
      <c r="M56" s="24">
        <v>149</v>
      </c>
      <c r="N56" s="24">
        <v>152</v>
      </c>
      <c r="O56" s="24">
        <v>150</v>
      </c>
      <c r="P56" s="24">
        <v>150</v>
      </c>
      <c r="Q56" s="25">
        <v>159</v>
      </c>
      <c r="R56" s="25">
        <v>150</v>
      </c>
    </row>
    <row r="57" spans="1:18" ht="15" customHeight="1" x14ac:dyDescent="0.25">
      <c r="A57" s="17" t="s">
        <v>58</v>
      </c>
      <c r="B57" s="67" t="s">
        <v>595</v>
      </c>
      <c r="C57" s="67" t="s">
        <v>231</v>
      </c>
      <c r="D57" s="67" t="s">
        <v>597</v>
      </c>
      <c r="E57" s="67">
        <v>1</v>
      </c>
      <c r="F57" s="68" t="s">
        <v>281</v>
      </c>
      <c r="G57" s="68">
        <v>833</v>
      </c>
      <c r="H57" s="68">
        <v>1056</v>
      </c>
      <c r="I57" s="68">
        <v>320</v>
      </c>
      <c r="J57" s="68">
        <v>3191</v>
      </c>
      <c r="K57" s="68">
        <v>810</v>
      </c>
      <c r="L57" s="68">
        <v>300</v>
      </c>
      <c r="M57" s="68">
        <v>1272</v>
      </c>
      <c r="N57" s="68">
        <v>1318</v>
      </c>
      <c r="O57" s="68">
        <v>838</v>
      </c>
      <c r="P57" s="68" t="s">
        <v>298</v>
      </c>
      <c r="Q57" s="67" t="s">
        <v>252</v>
      </c>
      <c r="R57" s="67" t="s">
        <v>598</v>
      </c>
    </row>
    <row r="58" spans="1:18" ht="15" customHeight="1" x14ac:dyDescent="0.25">
      <c r="A58" s="4"/>
      <c r="G58" s="4"/>
      <c r="H58" s="4"/>
      <c r="J58" s="4"/>
      <c r="K58" s="4"/>
      <c r="L58" s="4"/>
      <c r="M58" s="4"/>
      <c r="O58" s="4"/>
    </row>
    <row r="59" spans="1:18" ht="165" customHeight="1" x14ac:dyDescent="0.25">
      <c r="A59" s="4"/>
      <c r="B59" s="50" t="s">
        <v>600</v>
      </c>
      <c r="C59" s="50" t="s">
        <v>601</v>
      </c>
      <c r="D59" s="50" t="s">
        <v>602</v>
      </c>
      <c r="E59" s="50" t="s">
        <v>603</v>
      </c>
      <c r="F59" s="23" t="s">
        <v>604</v>
      </c>
      <c r="G59" s="23" t="s">
        <v>605</v>
      </c>
      <c r="H59" s="23" t="s">
        <v>606</v>
      </c>
      <c r="I59" s="23" t="s">
        <v>607</v>
      </c>
      <c r="J59" s="23" t="s">
        <v>608</v>
      </c>
      <c r="K59" s="23" t="s">
        <v>609</v>
      </c>
      <c r="L59" s="23" t="s">
        <v>610</v>
      </c>
      <c r="M59" s="23" t="s">
        <v>611</v>
      </c>
      <c r="N59" s="23" t="s">
        <v>612</v>
      </c>
      <c r="O59" s="23" t="s">
        <v>613</v>
      </c>
      <c r="P59" s="23" t="s">
        <v>614</v>
      </c>
      <c r="Q59" s="50" t="s">
        <v>615</v>
      </c>
      <c r="R59" s="50" t="s">
        <v>616</v>
      </c>
    </row>
    <row r="60" spans="1:18" ht="15" customHeight="1" x14ac:dyDescent="0.25">
      <c r="A60" s="4"/>
      <c r="G60" s="4"/>
      <c r="H60" s="4"/>
      <c r="J60" s="4"/>
      <c r="K60" s="4"/>
      <c r="L60" s="4"/>
      <c r="M60" s="4"/>
      <c r="O60" s="4"/>
    </row>
    <row r="61" spans="1:18" ht="30" customHeight="1" x14ac:dyDescent="0.25">
      <c r="A61" s="4"/>
      <c r="B61" s="23"/>
      <c r="C61" s="50" t="s">
        <v>38</v>
      </c>
      <c r="D61" s="50" t="s">
        <v>106</v>
      </c>
      <c r="E61" s="50" t="s">
        <v>106</v>
      </c>
      <c r="F61" s="23" t="s">
        <v>38</v>
      </c>
      <c r="G61" s="23" t="s">
        <v>617</v>
      </c>
      <c r="H61" s="23" t="s">
        <v>618</v>
      </c>
      <c r="I61" s="23" t="s">
        <v>38</v>
      </c>
      <c r="J61" s="23" t="s">
        <v>619</v>
      </c>
      <c r="K61" s="23" t="s">
        <v>620</v>
      </c>
      <c r="L61" s="23" t="s">
        <v>621</v>
      </c>
      <c r="M61" s="23" t="s">
        <v>622</v>
      </c>
      <c r="N61" s="23" t="s">
        <v>623</v>
      </c>
      <c r="O61" s="23" t="s">
        <v>624</v>
      </c>
      <c r="P61" s="23" t="s">
        <v>625</v>
      </c>
      <c r="Q61" s="50" t="s">
        <v>626</v>
      </c>
      <c r="R61" s="50" t="s">
        <v>619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3.7109375" customWidth="1"/>
    <col min="2" max="2" width="12.7109375" customWidth="1"/>
    <col min="3" max="3" width="16.85546875" customWidth="1"/>
    <col min="4" max="4" width="11.28515625" customWidth="1"/>
    <col min="5" max="5" width="11.42578125" customWidth="1"/>
    <col min="6" max="6" width="12" customWidth="1"/>
    <col min="7" max="7" width="11.7109375" customWidth="1"/>
    <col min="8" max="8" width="7.5703125" customWidth="1"/>
  </cols>
  <sheetData>
    <row r="1" spans="1:7" ht="23.25" customHeight="1" x14ac:dyDescent="0.35">
      <c r="A1" s="3" t="s">
        <v>84</v>
      </c>
      <c r="B1" s="3"/>
      <c r="C1" s="3"/>
      <c r="D1" s="4"/>
      <c r="E1" s="4"/>
      <c r="F1" s="4"/>
    </row>
    <row r="2" spans="1:7" ht="15" customHeight="1" x14ac:dyDescent="0.25">
      <c r="A2" s="4"/>
      <c r="B2" s="4"/>
      <c r="C2" s="4"/>
      <c r="D2" s="4"/>
      <c r="E2" s="4"/>
      <c r="F2" s="4"/>
    </row>
    <row r="3" spans="1:7" ht="23.25" customHeight="1" x14ac:dyDescent="0.35">
      <c r="A3" s="4"/>
      <c r="B3" s="7">
        <v>2000</v>
      </c>
      <c r="C3" s="5">
        <v>2003</v>
      </c>
      <c r="D3" s="7">
        <v>2004</v>
      </c>
      <c r="E3" s="28">
        <v>2006</v>
      </c>
      <c r="F3" s="7">
        <v>2013</v>
      </c>
      <c r="G3" s="5">
        <v>2015</v>
      </c>
    </row>
    <row r="4" spans="1:7" ht="15" customHeight="1" x14ac:dyDescent="0.25">
      <c r="A4" s="8" t="s">
        <v>19</v>
      </c>
      <c r="B4" s="10">
        <f>15/16</f>
        <v>0.9375</v>
      </c>
      <c r="C4" s="10">
        <f>24/35</f>
        <v>0.68571428571428572</v>
      </c>
      <c r="D4" s="10">
        <f>8/8.68</f>
        <v>0.92165898617511521</v>
      </c>
      <c r="E4" s="30">
        <v>1</v>
      </c>
      <c r="F4" s="10">
        <f>11/11.63</f>
        <v>0.94582975064488384</v>
      </c>
      <c r="G4" s="21">
        <v>1</v>
      </c>
    </row>
    <row r="5" spans="1:7" ht="15" customHeight="1" x14ac:dyDescent="0.25">
      <c r="A5" s="8" t="s">
        <v>17</v>
      </c>
      <c r="B5" s="10"/>
      <c r="C5" s="10">
        <f>5/35</f>
        <v>0.14285714285714285</v>
      </c>
      <c r="D5" s="10">
        <f>0.68/8.68</f>
        <v>7.83410138248848E-2</v>
      </c>
      <c r="E5" s="30"/>
      <c r="F5" s="10"/>
      <c r="G5" s="10"/>
    </row>
    <row r="6" spans="1:7" ht="15" customHeight="1" x14ac:dyDescent="0.25">
      <c r="A6" s="8" t="s">
        <v>74</v>
      </c>
      <c r="B6" s="10"/>
      <c r="C6" s="10"/>
      <c r="D6" s="10"/>
      <c r="E6" s="30"/>
      <c r="F6" s="10">
        <f>0.38/11.63</f>
        <v>3.2674118658641442E-2</v>
      </c>
      <c r="G6" s="10"/>
    </row>
    <row r="7" spans="1:7" ht="15" customHeight="1" x14ac:dyDescent="0.25">
      <c r="A7" s="8" t="s">
        <v>92</v>
      </c>
      <c r="B7" s="10"/>
      <c r="C7" s="10"/>
      <c r="D7" s="10"/>
      <c r="E7" s="30"/>
      <c r="F7" s="10">
        <f>0.25/11.63</f>
        <v>2.1496130696474634E-2</v>
      </c>
      <c r="G7" s="10"/>
    </row>
    <row r="8" spans="1:7" ht="15" customHeight="1" x14ac:dyDescent="0.25">
      <c r="A8" s="16" t="s">
        <v>93</v>
      </c>
      <c r="B8" s="10">
        <f>1/16</f>
        <v>6.25E-2</v>
      </c>
      <c r="C8" s="10"/>
      <c r="D8" s="10"/>
      <c r="E8" s="30"/>
      <c r="F8" s="10"/>
      <c r="G8" s="10"/>
    </row>
    <row r="9" spans="1:7" ht="15" customHeight="1" x14ac:dyDescent="0.25">
      <c r="A9" s="16" t="s">
        <v>82</v>
      </c>
      <c r="B9" s="10"/>
      <c r="C9" s="10">
        <f>6/35</f>
        <v>0.17142857142857143</v>
      </c>
      <c r="D9" s="10"/>
      <c r="E9" s="30"/>
      <c r="F9" s="10"/>
      <c r="G9" s="10"/>
    </row>
    <row r="10" spans="1:7" ht="15" customHeight="1" x14ac:dyDescent="0.25">
      <c r="A10" s="4"/>
      <c r="B10" s="4"/>
      <c r="C10" s="4"/>
      <c r="D10" s="4" t="s">
        <v>27</v>
      </c>
      <c r="E10" s="4"/>
      <c r="F10" s="4"/>
      <c r="G10" s="4"/>
    </row>
    <row r="11" spans="1:7" ht="15" customHeight="1" x14ac:dyDescent="0.25">
      <c r="A11" s="4"/>
      <c r="B11" s="4"/>
      <c r="C11" s="4"/>
      <c r="D11" s="4"/>
      <c r="E11" s="4"/>
      <c r="F11" s="4"/>
      <c r="G11" s="4"/>
    </row>
    <row r="12" spans="1:7" ht="15" customHeight="1" x14ac:dyDescent="0.25">
      <c r="A12" s="17" t="s">
        <v>28</v>
      </c>
      <c r="B12" s="9"/>
      <c r="C12" s="20" t="s">
        <v>94</v>
      </c>
      <c r="D12" s="9" t="s">
        <v>95</v>
      </c>
      <c r="E12" s="31"/>
      <c r="F12" s="9"/>
      <c r="G12" s="9"/>
    </row>
    <row r="13" spans="1:7" ht="15" customHeight="1" x14ac:dyDescent="0.25">
      <c r="A13" s="38" t="s">
        <v>96</v>
      </c>
      <c r="B13" s="9"/>
      <c r="C13" s="19"/>
      <c r="D13" s="19"/>
      <c r="E13" s="31"/>
      <c r="F13" s="9"/>
      <c r="G13" s="9" t="s">
        <v>36</v>
      </c>
    </row>
    <row r="14" spans="1:7" ht="15" customHeight="1" x14ac:dyDescent="0.25">
      <c r="A14" s="18" t="s">
        <v>31</v>
      </c>
      <c r="B14" s="9" t="s">
        <v>36</v>
      </c>
      <c r="C14" s="19"/>
      <c r="D14" s="19"/>
      <c r="E14" s="31" t="s">
        <v>51</v>
      </c>
      <c r="F14" s="9" t="s">
        <v>98</v>
      </c>
      <c r="G14" s="9"/>
    </row>
    <row r="15" spans="1:7" ht="15" customHeight="1" x14ac:dyDescent="0.25">
      <c r="A15" s="18" t="s">
        <v>39</v>
      </c>
      <c r="B15" s="9"/>
      <c r="C15" s="9"/>
      <c r="D15" s="9"/>
      <c r="E15" s="32"/>
      <c r="F15" s="19"/>
      <c r="G15" s="19"/>
    </row>
    <row r="16" spans="1:7" ht="30" customHeight="1" x14ac:dyDescent="0.25">
      <c r="A16" s="18" t="s">
        <v>40</v>
      </c>
      <c r="B16" s="9"/>
      <c r="C16" s="9"/>
      <c r="D16" s="9"/>
      <c r="E16" s="78" t="s">
        <v>36</v>
      </c>
      <c r="F16" s="79" t="s">
        <v>721</v>
      </c>
      <c r="G16" s="19"/>
    </row>
    <row r="17" spans="1:7" ht="15" customHeight="1" x14ac:dyDescent="0.25">
      <c r="A17" s="38" t="s">
        <v>85</v>
      </c>
      <c r="B17" s="20" t="s">
        <v>36</v>
      </c>
      <c r="C17" s="9"/>
      <c r="D17" s="9"/>
      <c r="E17" s="32"/>
      <c r="F17" s="19"/>
      <c r="G17" s="19"/>
    </row>
    <row r="18" spans="1:7" ht="15" customHeight="1" x14ac:dyDescent="0.25">
      <c r="A18" s="18" t="s">
        <v>41</v>
      </c>
      <c r="B18" s="9"/>
      <c r="C18" s="20" t="s">
        <v>36</v>
      </c>
      <c r="D18" s="9"/>
      <c r="E18" s="32" t="s">
        <v>99</v>
      </c>
      <c r="F18" s="19"/>
      <c r="G18" s="9" t="s">
        <v>36</v>
      </c>
    </row>
    <row r="19" spans="1:7" ht="15" customHeight="1" x14ac:dyDescent="0.25">
      <c r="A19" s="18" t="s">
        <v>43</v>
      </c>
      <c r="B19" s="9"/>
      <c r="C19" s="9"/>
      <c r="D19" s="9"/>
      <c r="E19" s="32"/>
      <c r="F19" s="19"/>
      <c r="G19" s="19"/>
    </row>
    <row r="20" spans="1:7" ht="30" customHeight="1" x14ac:dyDescent="0.25">
      <c r="A20" s="18" t="s">
        <v>44</v>
      </c>
      <c r="B20" s="9"/>
      <c r="C20" s="9"/>
      <c r="D20" s="9"/>
      <c r="E20" s="32"/>
      <c r="F20" s="79" t="s">
        <v>721</v>
      </c>
      <c r="G20" s="19"/>
    </row>
    <row r="21" spans="1:7" ht="30" customHeight="1" x14ac:dyDescent="0.25">
      <c r="A21" s="18" t="s">
        <v>45</v>
      </c>
      <c r="B21" s="20" t="s">
        <v>42</v>
      </c>
      <c r="C21" s="20" t="s">
        <v>36</v>
      </c>
      <c r="D21" s="9"/>
      <c r="E21" s="32" t="s">
        <v>100</v>
      </c>
      <c r="F21" s="19"/>
      <c r="G21" s="9" t="s">
        <v>36</v>
      </c>
    </row>
    <row r="22" spans="1:7" ht="15" customHeight="1" x14ac:dyDescent="0.25">
      <c r="A22" s="18" t="s">
        <v>52</v>
      </c>
      <c r="B22" s="9"/>
      <c r="C22" s="9"/>
      <c r="D22" s="9"/>
      <c r="E22" s="32"/>
      <c r="F22" s="19"/>
      <c r="G22" s="19"/>
    </row>
    <row r="23" spans="1:7" ht="15" customHeight="1" x14ac:dyDescent="0.25">
      <c r="A23" s="4"/>
      <c r="B23" s="4"/>
      <c r="C23" s="4"/>
      <c r="D23" s="4"/>
      <c r="E23" s="4"/>
      <c r="F23" s="4"/>
      <c r="G23" s="4"/>
    </row>
    <row r="24" spans="1:7" ht="15" customHeight="1" x14ac:dyDescent="0.25">
      <c r="A24" s="17" t="s">
        <v>53</v>
      </c>
      <c r="B24" s="9">
        <v>1.05</v>
      </c>
      <c r="C24" s="20">
        <v>1.05</v>
      </c>
      <c r="D24" s="9">
        <v>1.042</v>
      </c>
      <c r="E24" s="31">
        <v>1.054</v>
      </c>
      <c r="F24" s="9">
        <v>1.0509999999999999</v>
      </c>
      <c r="G24" s="20">
        <v>1.054</v>
      </c>
    </row>
    <row r="25" spans="1:7" ht="15" customHeight="1" x14ac:dyDescent="0.25">
      <c r="A25" s="17" t="s">
        <v>55</v>
      </c>
      <c r="B25" s="9">
        <v>1.012</v>
      </c>
      <c r="C25" s="20">
        <v>1.014</v>
      </c>
      <c r="D25" s="9">
        <v>1.0129999999999999</v>
      </c>
      <c r="E25" s="31">
        <v>1.014</v>
      </c>
      <c r="F25" s="9">
        <v>1.008</v>
      </c>
      <c r="G25" s="20">
        <v>1.01</v>
      </c>
    </row>
    <row r="26" spans="1:7" ht="15" customHeight="1" x14ac:dyDescent="0.25">
      <c r="A26" s="17" t="s">
        <v>57</v>
      </c>
      <c r="B26" s="24" t="s">
        <v>101</v>
      </c>
      <c r="C26" s="36">
        <v>153</v>
      </c>
      <c r="D26" s="33">
        <v>126139156</v>
      </c>
      <c r="E26" s="31">
        <v>152</v>
      </c>
      <c r="F26" s="9" t="s">
        <v>102</v>
      </c>
      <c r="G26" s="20">
        <v>147</v>
      </c>
    </row>
    <row r="27" spans="1:7" ht="15" customHeight="1" x14ac:dyDescent="0.25">
      <c r="A27" s="17" t="s">
        <v>58</v>
      </c>
      <c r="B27" s="9">
        <v>2007</v>
      </c>
      <c r="C27" s="25" t="s">
        <v>103</v>
      </c>
      <c r="D27" s="9">
        <v>2782</v>
      </c>
      <c r="E27" s="34">
        <v>802</v>
      </c>
      <c r="F27" s="24">
        <v>2308</v>
      </c>
      <c r="G27" s="25">
        <v>830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20.28515625" customWidth="1"/>
    <col min="2" max="5" width="13.42578125" customWidth="1"/>
    <col min="6" max="6" width="10.5703125" customWidth="1"/>
    <col min="7" max="7" width="9.5703125" customWidth="1"/>
    <col min="8" max="8" width="11.7109375" customWidth="1"/>
    <col min="9" max="9" width="10.42578125" customWidth="1"/>
    <col min="10" max="10" width="12.140625" customWidth="1"/>
    <col min="11" max="11" width="9.85546875" customWidth="1"/>
    <col min="12" max="13" width="10.7109375" customWidth="1"/>
    <col min="14" max="14" width="10.140625" customWidth="1"/>
    <col min="15" max="15" width="10" customWidth="1"/>
    <col min="16" max="16" width="11.5703125" customWidth="1"/>
    <col min="17" max="17" width="12.85546875" customWidth="1"/>
    <col min="18" max="18" width="10" customWidth="1"/>
  </cols>
  <sheetData>
    <row r="1" spans="1:18" ht="23.25" customHeight="1" x14ac:dyDescent="0.35">
      <c r="A1" s="3" t="s">
        <v>567</v>
      </c>
      <c r="B1" s="3"/>
      <c r="C1" s="3"/>
      <c r="D1" s="3"/>
      <c r="E1" s="3"/>
      <c r="F1" s="4"/>
      <c r="H1" s="4"/>
      <c r="J1" s="4"/>
      <c r="L1" s="4"/>
      <c r="P1" s="4"/>
      <c r="Q1" s="4"/>
      <c r="R1" s="4"/>
    </row>
    <row r="2" spans="1:18" ht="23.25" customHeight="1" x14ac:dyDescent="0.35">
      <c r="A2" s="3"/>
      <c r="B2" s="3"/>
      <c r="C2" s="3"/>
      <c r="D2" s="3"/>
      <c r="E2" s="3"/>
      <c r="F2" s="4"/>
      <c r="H2" s="4"/>
      <c r="J2" s="4"/>
      <c r="L2" s="4"/>
      <c r="P2" s="4"/>
      <c r="Q2" s="4"/>
      <c r="R2" s="4"/>
    </row>
    <row r="3" spans="1:18" ht="23.25" customHeight="1" x14ac:dyDescent="0.25">
      <c r="A3" s="4"/>
      <c r="B3" s="52">
        <v>2000</v>
      </c>
      <c r="C3" s="52">
        <v>2001</v>
      </c>
      <c r="D3" s="52">
        <v>2002</v>
      </c>
      <c r="E3" s="52">
        <v>2003</v>
      </c>
      <c r="F3" s="53">
        <v>2004</v>
      </c>
      <c r="G3" s="53">
        <v>2005</v>
      </c>
      <c r="H3" s="53">
        <v>2006</v>
      </c>
      <c r="I3" s="53">
        <v>2007</v>
      </c>
      <c r="J3" s="53">
        <v>2008</v>
      </c>
      <c r="K3" s="53">
        <v>2009</v>
      </c>
      <c r="L3" s="53">
        <v>2010</v>
      </c>
      <c r="M3" s="53">
        <v>2011</v>
      </c>
      <c r="N3" s="53">
        <v>2012</v>
      </c>
      <c r="O3" s="53">
        <v>2013</v>
      </c>
      <c r="P3" s="53">
        <v>2014</v>
      </c>
      <c r="Q3" s="52">
        <v>2015</v>
      </c>
      <c r="R3" s="52">
        <v>2016</v>
      </c>
    </row>
    <row r="4" spans="1:18" ht="15" customHeight="1" x14ac:dyDescent="0.25">
      <c r="A4" s="17" t="s">
        <v>14</v>
      </c>
      <c r="B4" s="54">
        <f>10/11</f>
        <v>0.90909090909090906</v>
      </c>
      <c r="C4" s="54">
        <f>10/15.5</f>
        <v>0.64516129032258063</v>
      </c>
      <c r="D4" s="54"/>
      <c r="E4" s="54"/>
      <c r="F4" s="54"/>
      <c r="G4" s="54"/>
      <c r="H4" s="54"/>
      <c r="I4" s="54"/>
      <c r="J4" s="54"/>
      <c r="K4" s="54">
        <f>10.5/13</f>
        <v>0.80769230769230771</v>
      </c>
      <c r="L4" s="54"/>
      <c r="M4" s="54"/>
      <c r="N4" s="54"/>
      <c r="O4" s="54"/>
      <c r="P4" s="54">
        <f>14/16.75</f>
        <v>0.83582089552238803</v>
      </c>
      <c r="Q4" s="54"/>
      <c r="R4" s="54">
        <f>17/26.8</f>
        <v>0.63432835820895517</v>
      </c>
    </row>
    <row r="5" spans="1:18" ht="15" customHeight="1" x14ac:dyDescent="0.25">
      <c r="A5" s="17" t="s">
        <v>38</v>
      </c>
      <c r="B5" s="54">
        <f>1/11</f>
        <v>9.0909090909090912E-2</v>
      </c>
      <c r="C5" s="54">
        <f>3/15.5</f>
        <v>0.19354838709677419</v>
      </c>
      <c r="D5" s="54"/>
      <c r="E5" s="54"/>
      <c r="F5" s="54">
        <f>9/15.75</f>
        <v>0.5714285714285714</v>
      </c>
      <c r="G5" s="54"/>
      <c r="H5" s="54">
        <f>1/15.5</f>
        <v>6.4516129032258063E-2</v>
      </c>
      <c r="I5" s="54"/>
      <c r="J5" s="54">
        <v>0.6</v>
      </c>
      <c r="K5" s="54">
        <f>0.5/13</f>
        <v>3.8461538461538464E-2</v>
      </c>
      <c r="L5" s="54"/>
      <c r="M5" s="54">
        <f>2.125/4</f>
        <v>0.53125</v>
      </c>
      <c r="N5" s="54"/>
      <c r="O5" s="54"/>
      <c r="P5" s="54"/>
      <c r="Q5" s="56">
        <v>0.5</v>
      </c>
      <c r="R5" s="56"/>
    </row>
    <row r="6" spans="1:18" ht="15" customHeight="1" x14ac:dyDescent="0.25">
      <c r="A6" s="17" t="s">
        <v>82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8" ht="15" customHeight="1" x14ac:dyDescent="0.25">
      <c r="A7" s="17" t="s">
        <v>19</v>
      </c>
      <c r="B7" s="54"/>
      <c r="C7" s="54"/>
      <c r="D7" s="54"/>
      <c r="E7" s="54"/>
      <c r="F7" s="54">
        <f>5/15.75</f>
        <v>0.31746031746031744</v>
      </c>
      <c r="G7" s="54"/>
      <c r="H7" s="54"/>
      <c r="I7" s="54"/>
      <c r="J7" s="54">
        <v>0.4</v>
      </c>
      <c r="K7" s="54"/>
      <c r="L7" s="54">
        <f>3.79/12.54</f>
        <v>0.30223285486443385</v>
      </c>
      <c r="M7" s="54">
        <f>1.875/4</f>
        <v>0.46875</v>
      </c>
      <c r="N7" s="54">
        <f>9/10.5</f>
        <v>0.8571428571428571</v>
      </c>
      <c r="O7" s="54"/>
      <c r="P7" s="54"/>
      <c r="Q7" s="54"/>
      <c r="R7" s="54"/>
    </row>
    <row r="8" spans="1:18" ht="15" customHeight="1" x14ac:dyDescent="0.25">
      <c r="A8" s="17" t="s">
        <v>112</v>
      </c>
      <c r="B8" s="54"/>
      <c r="C8" s="54"/>
      <c r="D8" s="54"/>
      <c r="E8" s="54">
        <f>40/56.5</f>
        <v>0.70796460176991149</v>
      </c>
      <c r="F8" s="54"/>
      <c r="G8" s="54"/>
      <c r="H8" s="54"/>
      <c r="I8" s="54"/>
      <c r="J8" s="54"/>
      <c r="K8" s="54"/>
      <c r="L8" s="54"/>
      <c r="M8" s="54"/>
      <c r="N8" s="54"/>
      <c r="O8" s="54">
        <f>30/37</f>
        <v>0.81081081081081086</v>
      </c>
      <c r="P8" s="54"/>
      <c r="Q8" s="54"/>
      <c r="R8" s="54"/>
    </row>
    <row r="9" spans="1:18" ht="15" customHeight="1" x14ac:dyDescent="0.25">
      <c r="A9" s="17" t="s">
        <v>24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>
        <f>1/10.5</f>
        <v>9.5238095238095233E-2</v>
      </c>
      <c r="O9" s="54"/>
      <c r="P9" s="54"/>
      <c r="Q9" s="54"/>
      <c r="R9" s="54"/>
    </row>
    <row r="10" spans="1:18" ht="15" customHeight="1" x14ac:dyDescent="0.25">
      <c r="A10" s="17" t="s">
        <v>384</v>
      </c>
      <c r="B10" s="54"/>
      <c r="C10" s="54">
        <f>2/15.5</f>
        <v>0.12903225806451613</v>
      </c>
      <c r="D10" s="54"/>
      <c r="E10" s="54"/>
      <c r="F10" s="54"/>
      <c r="G10" s="54"/>
      <c r="H10" s="54"/>
      <c r="I10" s="54"/>
      <c r="J10" s="54"/>
      <c r="K10" s="54"/>
      <c r="L10" s="54">
        <f>2/12.54</f>
        <v>0.15948963317384371</v>
      </c>
      <c r="M10" s="54"/>
      <c r="N10" s="54"/>
      <c r="O10" s="54"/>
      <c r="P10" s="54"/>
      <c r="Q10" s="54"/>
      <c r="R10" s="54"/>
    </row>
    <row r="11" spans="1:18" ht="15" customHeight="1" x14ac:dyDescent="0.25">
      <c r="A11" s="17" t="s">
        <v>17</v>
      </c>
      <c r="B11" s="54"/>
      <c r="C11" s="54">
        <f>0.5/15.5</f>
        <v>3.2258064516129031E-2</v>
      </c>
      <c r="D11" s="54"/>
      <c r="E11" s="54">
        <f>2/56.5</f>
        <v>3.5398230088495575E-2</v>
      </c>
      <c r="F11" s="54"/>
      <c r="G11" s="54"/>
      <c r="H11" s="54"/>
      <c r="I11" s="54">
        <f>0.5/17.625</f>
        <v>2.8368794326241134E-2</v>
      </c>
      <c r="J11" s="54"/>
      <c r="K11" s="54"/>
      <c r="L11" s="54"/>
      <c r="M11" s="54"/>
      <c r="N11" s="54">
        <f>0.5/10.5</f>
        <v>4.7619047619047616E-2</v>
      </c>
      <c r="O11" s="54"/>
      <c r="P11" s="54">
        <f>1/16.75</f>
        <v>5.9701492537313432E-2</v>
      </c>
      <c r="Q11" s="54"/>
      <c r="R11" s="54"/>
    </row>
    <row r="12" spans="1:18" ht="15" customHeight="1" x14ac:dyDescent="0.25">
      <c r="A12" s="17" t="s">
        <v>16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>
        <f>1/12.54</f>
        <v>7.9744816586921854E-2</v>
      </c>
      <c r="M12" s="54"/>
      <c r="N12" s="54"/>
      <c r="O12" s="54"/>
      <c r="P12" s="54"/>
      <c r="Q12" s="54"/>
      <c r="R12" s="54"/>
    </row>
    <row r="13" spans="1:18" ht="15" customHeight="1" x14ac:dyDescent="0.25">
      <c r="A13" s="17" t="s">
        <v>271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>
        <f>2.25/37</f>
        <v>6.0810810810810814E-2</v>
      </c>
      <c r="P13" s="54"/>
      <c r="Q13" s="54"/>
      <c r="R13" s="54"/>
    </row>
    <row r="14" spans="1:18" ht="15" customHeight="1" x14ac:dyDescent="0.25">
      <c r="A14" s="17" t="s">
        <v>569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>
        <f>1.75/37</f>
        <v>4.72972972972973E-2</v>
      </c>
      <c r="P14" s="54"/>
      <c r="Q14" s="54"/>
      <c r="R14" s="54"/>
    </row>
    <row r="15" spans="1:18" ht="15" customHeight="1" x14ac:dyDescent="0.25">
      <c r="A15" s="17" t="s">
        <v>570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>
        <f t="shared" ref="O15:O16" si="0">1.5/37</f>
        <v>4.0540540540540543E-2</v>
      </c>
      <c r="P15" s="54"/>
      <c r="Q15" s="54"/>
      <c r="R15" s="54"/>
    </row>
    <row r="16" spans="1:18" ht="15" customHeight="1" x14ac:dyDescent="0.25">
      <c r="A16" s="17" t="s">
        <v>164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>
        <f t="shared" si="0"/>
        <v>4.0540540540540543E-2</v>
      </c>
      <c r="P16" s="54"/>
      <c r="Q16" s="54"/>
      <c r="R16" s="54"/>
    </row>
    <row r="17" spans="1:18" ht="15" customHeight="1" x14ac:dyDescent="0.25">
      <c r="A17" s="17" t="s">
        <v>155</v>
      </c>
      <c r="B17" s="54"/>
      <c r="C17" s="54"/>
      <c r="D17" s="54"/>
      <c r="E17" s="54">
        <f>3/56.5</f>
        <v>5.3097345132743362E-2</v>
      </c>
      <c r="F17" s="54"/>
      <c r="G17" s="54"/>
      <c r="H17" s="54"/>
      <c r="I17" s="54">
        <f>0.125/17.625</f>
        <v>7.0921985815602835E-3</v>
      </c>
      <c r="J17" s="54"/>
      <c r="K17" s="54"/>
      <c r="L17" s="54"/>
      <c r="M17" s="54"/>
      <c r="N17" s="54"/>
      <c r="O17" s="54"/>
      <c r="P17" s="54"/>
      <c r="Q17" s="54"/>
      <c r="R17" s="54">
        <f>0.5/26.8</f>
        <v>1.8656716417910446E-2</v>
      </c>
    </row>
    <row r="18" spans="1:18" ht="15" customHeight="1" x14ac:dyDescent="0.25">
      <c r="A18" s="17" t="s">
        <v>174</v>
      </c>
      <c r="B18" s="54"/>
      <c r="C18" s="54"/>
      <c r="D18" s="54"/>
      <c r="E18" s="54"/>
      <c r="F18" s="54"/>
      <c r="G18" s="54"/>
      <c r="H18" s="54">
        <f>0.4/15.5</f>
        <v>2.5806451612903226E-2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18" ht="15" customHeight="1" x14ac:dyDescent="0.25">
      <c r="A19" s="17" t="s">
        <v>214</v>
      </c>
      <c r="B19" s="54"/>
      <c r="C19" s="54"/>
      <c r="D19" s="54"/>
      <c r="E19" s="54"/>
      <c r="F19" s="54"/>
      <c r="G19" s="54"/>
      <c r="H19" s="54">
        <f>7.8/15.5</f>
        <v>0.50322580645161286</v>
      </c>
      <c r="I19" s="54">
        <f>14.5/17.625</f>
        <v>0.82269503546099287</v>
      </c>
      <c r="J19" s="54"/>
      <c r="K19" s="54"/>
      <c r="L19" s="54"/>
      <c r="M19" s="54"/>
      <c r="N19" s="54"/>
      <c r="O19" s="54"/>
      <c r="P19" s="54"/>
      <c r="Q19" s="54"/>
      <c r="R19" s="54"/>
    </row>
    <row r="20" spans="1:18" ht="15" customHeight="1" x14ac:dyDescent="0.25">
      <c r="A20" s="17" t="s">
        <v>471</v>
      </c>
      <c r="B20" s="54"/>
      <c r="C20" s="54"/>
      <c r="D20" s="54">
        <f>1/3.75</f>
        <v>0.26666666666666666</v>
      </c>
      <c r="E20" s="54"/>
      <c r="F20" s="54">
        <f>1.75/15.75</f>
        <v>0.1111111111111111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</row>
    <row r="21" spans="1:18" ht="15" customHeight="1" x14ac:dyDescent="0.25">
      <c r="A21" s="17" t="s">
        <v>72</v>
      </c>
      <c r="B21" s="54"/>
      <c r="C21" s="54"/>
      <c r="D21" s="54"/>
      <c r="E21" s="54"/>
      <c r="F21" s="54"/>
      <c r="G21" s="54"/>
      <c r="H21" s="54"/>
      <c r="I21" s="54">
        <f>0.25/17.625</f>
        <v>1.4184397163120567E-2</v>
      </c>
      <c r="J21" s="54"/>
      <c r="K21" s="54">
        <f>0.5/13</f>
        <v>3.8461538461538464E-2</v>
      </c>
      <c r="L21" s="54"/>
      <c r="M21" s="54"/>
      <c r="N21" s="54"/>
      <c r="O21" s="54"/>
      <c r="P21" s="54"/>
      <c r="Q21" s="54"/>
      <c r="R21" s="54"/>
    </row>
    <row r="22" spans="1:18" ht="15" customHeight="1" x14ac:dyDescent="0.25">
      <c r="A22" s="17" t="s">
        <v>283</v>
      </c>
      <c r="B22" s="54"/>
      <c r="C22" s="54"/>
      <c r="D22" s="54"/>
      <c r="E22" s="54">
        <f>5.5/56.5</f>
        <v>9.7345132743362831E-2</v>
      </c>
      <c r="F22" s="54"/>
      <c r="G22" s="54"/>
      <c r="H22" s="54">
        <f>2/15.5</f>
        <v>0.12903225806451613</v>
      </c>
      <c r="I22" s="54"/>
      <c r="J22" s="54"/>
      <c r="K22" s="54"/>
      <c r="L22" s="54"/>
      <c r="M22" s="54"/>
      <c r="N22" s="54"/>
      <c r="P22" s="54"/>
      <c r="Q22" s="54"/>
      <c r="R22" s="54">
        <f>1.15/26.8</f>
        <v>4.2910447761194029E-2</v>
      </c>
    </row>
    <row r="23" spans="1:18" ht="15" customHeight="1" x14ac:dyDescent="0.25">
      <c r="A23" s="17" t="s">
        <v>167</v>
      </c>
      <c r="B23" s="54"/>
      <c r="C23" s="54"/>
      <c r="D23" s="54"/>
      <c r="E23" s="54">
        <f>1/56.5</f>
        <v>1.7699115044247787E-2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</row>
    <row r="24" spans="1:18" ht="15" customHeight="1" x14ac:dyDescent="0.25">
      <c r="A24" s="17" t="s">
        <v>134</v>
      </c>
      <c r="B24" s="54"/>
      <c r="C24" s="54"/>
      <c r="D24" s="54"/>
      <c r="E24" s="54"/>
      <c r="F24" s="54"/>
      <c r="G24" s="54"/>
      <c r="H24" s="54">
        <f>2/15.5</f>
        <v>0.12903225806451613</v>
      </c>
      <c r="I24" s="54">
        <f>1.75/17.625</f>
        <v>9.9290780141843976E-2</v>
      </c>
      <c r="J24" s="54"/>
      <c r="K24" s="54"/>
      <c r="L24" s="54"/>
      <c r="M24" s="54"/>
      <c r="N24" s="54"/>
      <c r="O24" s="54"/>
      <c r="P24" s="54"/>
      <c r="Q24" s="54"/>
      <c r="R24" s="54"/>
    </row>
    <row r="25" spans="1:18" ht="15" customHeight="1" x14ac:dyDescent="0.25">
      <c r="A25" s="17" t="s">
        <v>318</v>
      </c>
      <c r="B25" s="54"/>
      <c r="C25" s="54"/>
      <c r="D25" s="54">
        <f>2/3.75</f>
        <v>0.53333333333333333</v>
      </c>
      <c r="E25" s="54"/>
      <c r="F25" s="54"/>
      <c r="G25" s="54">
        <f>6.6/8.1</f>
        <v>0.81481481481481477</v>
      </c>
      <c r="H25" s="54"/>
      <c r="I25" s="54"/>
      <c r="J25" s="54"/>
      <c r="K25" s="54"/>
      <c r="L25" s="54">
        <f>4/12.54</f>
        <v>0.31897926634768742</v>
      </c>
      <c r="M25" s="54"/>
      <c r="N25" s="54"/>
      <c r="O25" s="54"/>
      <c r="P25" s="54"/>
      <c r="Q25" s="54"/>
      <c r="R25" s="54"/>
    </row>
    <row r="26" spans="1:18" ht="15" customHeight="1" x14ac:dyDescent="0.25">
      <c r="A26" s="17" t="s">
        <v>316</v>
      </c>
      <c r="B26" s="54"/>
      <c r="C26" s="54"/>
      <c r="D26" s="54"/>
      <c r="E26" s="54"/>
      <c r="F26" s="54"/>
      <c r="G26" s="54">
        <f>0.5/8.1</f>
        <v>6.1728395061728399E-2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</row>
    <row r="27" spans="1:18" ht="15" customHeight="1" x14ac:dyDescent="0.25">
      <c r="A27" s="17" t="s">
        <v>456</v>
      </c>
      <c r="B27" s="54"/>
      <c r="C27" s="54"/>
      <c r="D27" s="54"/>
      <c r="E27" s="54"/>
      <c r="F27" s="54"/>
      <c r="G27" s="54">
        <f>1/8.1</f>
        <v>0.1234567901234568</v>
      </c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</row>
    <row r="28" spans="1:18" ht="15" customHeight="1" x14ac:dyDescent="0.25">
      <c r="A28" s="17" t="s">
        <v>21</v>
      </c>
      <c r="B28" s="54"/>
      <c r="C28" s="54"/>
      <c r="D28" s="54"/>
      <c r="E28" s="54"/>
      <c r="F28" s="54"/>
      <c r="G28" s="54"/>
      <c r="H28" s="54">
        <f>1.2/15.5</f>
        <v>7.7419354838709681E-2</v>
      </c>
      <c r="I28" s="54"/>
      <c r="J28" s="54"/>
      <c r="K28" s="54"/>
      <c r="L28" s="54"/>
      <c r="M28" s="54"/>
      <c r="N28" s="54"/>
      <c r="O28" s="54"/>
      <c r="P28" s="54"/>
      <c r="Q28" s="54"/>
      <c r="R28" s="54"/>
    </row>
    <row r="29" spans="1:18" ht="15" customHeight="1" x14ac:dyDescent="0.25">
      <c r="A29" s="17" t="s">
        <v>586</v>
      </c>
      <c r="B29" s="54"/>
      <c r="C29" s="54"/>
      <c r="D29" s="54">
        <f>0.5/3.75</f>
        <v>0.13333333333333333</v>
      </c>
      <c r="E29" s="54"/>
      <c r="F29" s="54"/>
      <c r="G29" s="54"/>
      <c r="H29" s="54">
        <f>1.1/15.5</f>
        <v>7.0967741935483872E-2</v>
      </c>
      <c r="I29" s="54"/>
      <c r="J29" s="54"/>
      <c r="K29" s="54"/>
      <c r="L29" s="54"/>
      <c r="M29" s="54"/>
      <c r="N29" s="54"/>
      <c r="O29" s="54"/>
      <c r="P29" s="54"/>
      <c r="Q29" s="54"/>
      <c r="R29" s="54">
        <f>2/26.8</f>
        <v>7.4626865671641784E-2</v>
      </c>
    </row>
    <row r="30" spans="1:18" ht="15" customHeight="1" x14ac:dyDescent="0.25">
      <c r="A30" s="17" t="s">
        <v>287</v>
      </c>
      <c r="B30" s="54"/>
      <c r="C30" s="54"/>
      <c r="D30" s="54"/>
      <c r="E30" s="54"/>
      <c r="F30" s="54"/>
      <c r="G30" s="54"/>
      <c r="H30" s="54"/>
      <c r="I30" s="54">
        <f>0.5/17.625</f>
        <v>2.8368794326241134E-2</v>
      </c>
      <c r="J30" s="54"/>
      <c r="K30" s="54"/>
      <c r="L30" s="54"/>
      <c r="M30" s="54"/>
      <c r="N30" s="54"/>
      <c r="O30" s="54"/>
      <c r="P30" s="54"/>
      <c r="Q30" s="54"/>
      <c r="R30" s="54"/>
    </row>
    <row r="31" spans="1:18" ht="15" customHeight="1" x14ac:dyDescent="0.25">
      <c r="A31" s="17" t="s">
        <v>349</v>
      </c>
      <c r="B31" s="54"/>
      <c r="C31" s="54"/>
      <c r="D31" s="54"/>
      <c r="E31" s="54"/>
      <c r="F31" s="54"/>
      <c r="G31" s="54"/>
      <c r="H31" s="54"/>
      <c r="I31" s="54"/>
      <c r="J31" s="54"/>
      <c r="K31" s="54">
        <f>1/13</f>
        <v>7.6923076923076927E-2</v>
      </c>
      <c r="L31" s="54"/>
      <c r="M31" s="54"/>
      <c r="N31" s="54"/>
      <c r="O31" s="54"/>
      <c r="P31" s="54"/>
      <c r="Q31" s="54"/>
      <c r="R31" s="54"/>
    </row>
    <row r="32" spans="1:18" ht="15" customHeight="1" x14ac:dyDescent="0.25">
      <c r="A32" s="17" t="s">
        <v>285</v>
      </c>
      <c r="B32" s="54"/>
      <c r="C32" s="54"/>
      <c r="D32" s="54"/>
      <c r="E32" s="54"/>
      <c r="F32" s="54"/>
      <c r="G32" s="54"/>
      <c r="H32" s="54"/>
      <c r="I32" s="54"/>
      <c r="J32" s="54"/>
      <c r="K32" s="54">
        <f>0.5/13</f>
        <v>3.8461538461538464E-2</v>
      </c>
      <c r="L32" s="54"/>
      <c r="M32" s="54"/>
      <c r="N32" s="54"/>
      <c r="O32" s="54"/>
      <c r="P32" s="54"/>
      <c r="Q32" s="54"/>
      <c r="R32" s="54"/>
    </row>
    <row r="33" spans="1:18" ht="15" customHeight="1" x14ac:dyDescent="0.25">
      <c r="A33" s="17" t="s">
        <v>175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>
        <f>0.5/12.54</f>
        <v>3.9872408293460927E-2</v>
      </c>
      <c r="M33" s="54"/>
      <c r="N33" s="54"/>
      <c r="O33" s="54"/>
      <c r="P33" s="54"/>
      <c r="Q33" s="54"/>
      <c r="R33" s="54">
        <f>2/26.8</f>
        <v>7.4626865671641784E-2</v>
      </c>
    </row>
    <row r="34" spans="1:18" ht="15" customHeight="1" x14ac:dyDescent="0.25">
      <c r="A34" s="17" t="s">
        <v>269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>
        <f>1.25/12.54</f>
        <v>9.9681020733652315E-2</v>
      </c>
      <c r="M34" s="54"/>
      <c r="N34" s="54"/>
      <c r="O34" s="54"/>
      <c r="P34" s="54"/>
      <c r="Q34" s="54"/>
      <c r="R34" s="54"/>
    </row>
    <row r="35" spans="1:18" ht="15" customHeight="1" x14ac:dyDescent="0.25">
      <c r="A35" s="17" t="s">
        <v>32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>
        <f>1.25/16.75</f>
        <v>7.4626865671641784E-2</v>
      </c>
      <c r="Q35" s="54"/>
      <c r="R35" s="54"/>
    </row>
    <row r="36" spans="1:18" ht="15" customHeight="1" x14ac:dyDescent="0.25">
      <c r="A36" s="17" t="s">
        <v>313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>
        <f>0.5/16.75</f>
        <v>2.9850746268656716E-2</v>
      </c>
      <c r="Q36" s="54"/>
      <c r="R36" s="54"/>
    </row>
    <row r="37" spans="1:18" ht="15" customHeight="1" x14ac:dyDescent="0.25">
      <c r="A37" s="48" t="s">
        <v>157</v>
      </c>
      <c r="B37" s="54"/>
      <c r="C37" s="54"/>
      <c r="D37" s="54">
        <f>0.25/3.75</f>
        <v>6.6666666666666666E-2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1:18" ht="15" customHeight="1" x14ac:dyDescent="0.25">
      <c r="A38" s="48" t="s">
        <v>123</v>
      </c>
      <c r="B38" s="54"/>
      <c r="C38" s="54"/>
      <c r="D38" s="54"/>
      <c r="E38" s="54">
        <f>3/56.5</f>
        <v>5.3097345132743362E-2</v>
      </c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</row>
    <row r="39" spans="1:18" ht="15" customHeight="1" x14ac:dyDescent="0.25">
      <c r="A39" s="48" t="s">
        <v>292</v>
      </c>
      <c r="B39" s="54"/>
      <c r="C39" s="54"/>
      <c r="D39" s="54"/>
      <c r="E39" s="54">
        <f>2/56.5</f>
        <v>3.5398230088495575E-2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</row>
    <row r="40" spans="1:18" ht="15" customHeight="1" x14ac:dyDescent="0.25">
      <c r="A40" s="48" t="s">
        <v>295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6">
        <v>0.5</v>
      </c>
      <c r="R40" s="56"/>
    </row>
    <row r="41" spans="1:18" ht="15" customHeight="1" x14ac:dyDescent="0.25">
      <c r="A41" s="48" t="s">
        <v>128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>
        <f>2/26.8</f>
        <v>7.4626865671641784E-2</v>
      </c>
    </row>
    <row r="42" spans="1:18" ht="15" customHeight="1" x14ac:dyDescent="0.25">
      <c r="A42" s="48" t="s">
        <v>250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>
        <f>1.15/26.8</f>
        <v>4.2910447761194029E-2</v>
      </c>
    </row>
    <row r="43" spans="1:18" ht="15" customHeight="1" x14ac:dyDescent="0.25">
      <c r="A43" s="48" t="s">
        <v>154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>
        <f t="shared" ref="R43:R44" si="1">0.5/26.8</f>
        <v>1.8656716417910446E-2</v>
      </c>
    </row>
    <row r="44" spans="1:18" ht="15" customHeight="1" x14ac:dyDescent="0.25">
      <c r="A44" s="48" t="s">
        <v>599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6"/>
      <c r="R44" s="54">
        <f t="shared" si="1"/>
        <v>1.8656716417910446E-2</v>
      </c>
    </row>
    <row r="45" spans="1:18" ht="15" customHeight="1" x14ac:dyDescent="0.25">
      <c r="A45" s="2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</row>
    <row r="46" spans="1:18" ht="15" customHeight="1" x14ac:dyDescent="0.25">
      <c r="A46" s="17" t="s">
        <v>28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 t="s">
        <v>205</v>
      </c>
      <c r="O46" s="9"/>
      <c r="P46" s="9" t="s">
        <v>205</v>
      </c>
      <c r="Q46" s="9"/>
      <c r="R46" s="9"/>
    </row>
    <row r="47" spans="1:18" ht="30" customHeight="1" x14ac:dyDescent="0.25">
      <c r="A47" s="17" t="s">
        <v>96</v>
      </c>
      <c r="B47" s="19"/>
      <c r="C47" s="19"/>
      <c r="D47" s="19"/>
      <c r="E47" s="19"/>
      <c r="F47" s="19"/>
      <c r="G47" s="19"/>
      <c r="H47" s="19" t="s">
        <v>138</v>
      </c>
      <c r="I47" s="19" t="s">
        <v>195</v>
      </c>
      <c r="J47" s="19"/>
      <c r="K47" s="19"/>
      <c r="L47" s="19"/>
      <c r="M47" s="19"/>
      <c r="N47" s="19"/>
      <c r="O47" s="19"/>
      <c r="P47" s="19"/>
      <c r="Q47" s="19"/>
      <c r="R47" s="19"/>
    </row>
    <row r="48" spans="1:18" ht="75" customHeight="1" x14ac:dyDescent="0.25">
      <c r="A48" s="18" t="s">
        <v>31</v>
      </c>
      <c r="B48" s="22" t="s">
        <v>133</v>
      </c>
      <c r="C48" s="22" t="s">
        <v>133</v>
      </c>
      <c r="D48" s="19"/>
      <c r="E48" s="22" t="s">
        <v>195</v>
      </c>
      <c r="F48" s="19" t="s">
        <v>49</v>
      </c>
      <c r="G48" s="19" t="s">
        <v>170</v>
      </c>
      <c r="H48" s="19"/>
      <c r="I48" s="19"/>
      <c r="J48" s="19" t="s">
        <v>75</v>
      </c>
      <c r="K48" s="19" t="s">
        <v>133</v>
      </c>
      <c r="L48" s="19" t="s">
        <v>138</v>
      </c>
      <c r="M48" s="19" t="s">
        <v>627</v>
      </c>
      <c r="N48" s="19"/>
      <c r="O48" s="19" t="s">
        <v>195</v>
      </c>
      <c r="P48" s="19" t="s">
        <v>628</v>
      </c>
      <c r="Q48" s="19"/>
      <c r="R48" s="19"/>
    </row>
    <row r="49" spans="1:18" ht="15" customHeight="1" x14ac:dyDescent="0.25">
      <c r="A49" s="18" t="s">
        <v>39</v>
      </c>
      <c r="B49" s="19"/>
      <c r="C49" s="19"/>
      <c r="D49" s="22" t="s">
        <v>86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ht="60" customHeight="1" x14ac:dyDescent="0.25">
      <c r="A50" s="18" t="s">
        <v>40</v>
      </c>
      <c r="B50" s="19"/>
      <c r="C50" s="22" t="s">
        <v>133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 t="s">
        <v>629</v>
      </c>
      <c r="Q50" s="22" t="s">
        <v>588</v>
      </c>
      <c r="R50" s="22"/>
    </row>
    <row r="51" spans="1:18" ht="15" customHeight="1" x14ac:dyDescent="0.25">
      <c r="A51" s="18" t="s">
        <v>85</v>
      </c>
      <c r="B51" s="22" t="s">
        <v>243</v>
      </c>
      <c r="C51" s="19"/>
      <c r="D51" s="19"/>
      <c r="E51" s="19"/>
      <c r="F51" s="19"/>
      <c r="G51" s="19"/>
      <c r="H51" s="19"/>
      <c r="I51" s="19"/>
      <c r="J51" s="19"/>
      <c r="K51" s="19" t="s">
        <v>42</v>
      </c>
      <c r="L51" s="19"/>
      <c r="M51" s="19"/>
      <c r="N51" s="19"/>
      <c r="O51" s="19"/>
      <c r="P51" s="19"/>
      <c r="Q51" s="19"/>
      <c r="R51" s="19"/>
    </row>
    <row r="52" spans="1:18" ht="15" customHeight="1" x14ac:dyDescent="0.25">
      <c r="A52" s="18" t="s">
        <v>41</v>
      </c>
      <c r="B52" s="19"/>
      <c r="C52" s="19"/>
      <c r="D52" s="19"/>
      <c r="E52" s="22" t="s">
        <v>195</v>
      </c>
      <c r="F52" s="19" t="s">
        <v>49</v>
      </c>
      <c r="G52" s="19"/>
      <c r="H52" s="19"/>
      <c r="I52" s="19"/>
      <c r="J52" s="19" t="s">
        <v>49</v>
      </c>
      <c r="K52" s="19"/>
      <c r="L52" s="19"/>
      <c r="M52" s="19"/>
      <c r="N52" s="19"/>
      <c r="O52" s="19"/>
      <c r="P52" s="19"/>
      <c r="Q52" s="19"/>
      <c r="R52" s="19"/>
    </row>
    <row r="53" spans="1:18" ht="30" customHeight="1" x14ac:dyDescent="0.25">
      <c r="A53" s="18" t="s">
        <v>43</v>
      </c>
      <c r="B53" s="19"/>
      <c r="C53" s="19"/>
      <c r="D53" s="19"/>
      <c r="E53" s="19"/>
      <c r="F53" s="19"/>
      <c r="G53" s="19"/>
      <c r="H53" s="19"/>
      <c r="I53" s="19" t="s">
        <v>243</v>
      </c>
      <c r="J53" s="19"/>
      <c r="K53" s="19"/>
      <c r="L53" s="19"/>
      <c r="M53" s="19"/>
      <c r="N53" s="19" t="s">
        <v>630</v>
      </c>
      <c r="O53" s="19"/>
      <c r="P53" s="19"/>
      <c r="Q53" s="19"/>
      <c r="R53" s="19"/>
    </row>
    <row r="54" spans="1:18" ht="30" customHeight="1" x14ac:dyDescent="0.25">
      <c r="A54" s="18" t="s">
        <v>44</v>
      </c>
      <c r="B54" s="19"/>
      <c r="C54" s="19"/>
      <c r="D54" s="19"/>
      <c r="E54" s="19"/>
      <c r="F54" s="19"/>
      <c r="G54" s="19"/>
      <c r="H54" s="19" t="s">
        <v>196</v>
      </c>
      <c r="I54" s="19"/>
      <c r="J54" s="19"/>
      <c r="K54" s="19"/>
      <c r="L54" s="19"/>
      <c r="M54" s="19"/>
      <c r="N54" s="19"/>
      <c r="O54" s="19" t="s">
        <v>195</v>
      </c>
      <c r="P54" s="19"/>
      <c r="Q54" s="19"/>
      <c r="R54" s="19"/>
    </row>
    <row r="55" spans="1:18" ht="30" customHeight="1" x14ac:dyDescent="0.25">
      <c r="A55" s="18" t="s">
        <v>45</v>
      </c>
      <c r="B55" s="19"/>
      <c r="C55" s="22" t="s">
        <v>133</v>
      </c>
      <c r="D55" s="19"/>
      <c r="E55" s="19"/>
      <c r="F55" s="19"/>
      <c r="G55" s="19" t="s">
        <v>206</v>
      </c>
      <c r="H55" s="19" t="s">
        <v>387</v>
      </c>
      <c r="I55" s="19"/>
      <c r="J55" s="19"/>
      <c r="K55" s="19"/>
      <c r="L55" s="19"/>
      <c r="M55" s="19"/>
      <c r="N55" s="19" t="s">
        <v>630</v>
      </c>
      <c r="O55" s="19"/>
      <c r="P55" s="19" t="s">
        <v>427</v>
      </c>
      <c r="Q55" s="19"/>
      <c r="R55" s="19"/>
    </row>
    <row r="56" spans="1:18" ht="30" customHeight="1" x14ac:dyDescent="0.25">
      <c r="A56" s="18" t="s">
        <v>52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 t="s">
        <v>427</v>
      </c>
      <c r="Q56" s="19"/>
      <c r="R56" s="19"/>
    </row>
    <row r="57" spans="1:18" ht="15" customHeight="1" x14ac:dyDescent="0.25">
      <c r="A57" s="58"/>
      <c r="B57" s="4"/>
      <c r="C57" s="4"/>
      <c r="D57" s="4"/>
      <c r="E57" s="4"/>
      <c r="F57" s="4"/>
      <c r="H57" s="4"/>
      <c r="J57" s="4"/>
      <c r="L57" s="4"/>
      <c r="P57" s="4"/>
      <c r="Q57" s="4"/>
      <c r="R57" s="4"/>
    </row>
    <row r="58" spans="1:18" ht="15" customHeight="1" x14ac:dyDescent="0.25">
      <c r="A58" s="17" t="s">
        <v>53</v>
      </c>
      <c r="B58" s="20">
        <v>1.06</v>
      </c>
      <c r="C58" s="20">
        <v>1.0620000000000001</v>
      </c>
      <c r="D58" s="20">
        <v>1.028</v>
      </c>
      <c r="E58" s="20">
        <v>1.0780000000000001</v>
      </c>
      <c r="F58" s="9">
        <v>1.0549999999999999</v>
      </c>
      <c r="G58" s="9">
        <v>1.0489999999999999</v>
      </c>
      <c r="H58" s="9">
        <v>1.0660000000000001</v>
      </c>
      <c r="I58" s="9">
        <v>1.0880000000000001</v>
      </c>
      <c r="J58" s="9">
        <v>1.048</v>
      </c>
      <c r="K58" s="9">
        <v>1.08</v>
      </c>
      <c r="L58" s="9">
        <v>1.085</v>
      </c>
      <c r="M58" s="9">
        <v>1.0409999999999999</v>
      </c>
      <c r="N58" s="9">
        <v>1.056</v>
      </c>
      <c r="O58" s="9">
        <v>1.052</v>
      </c>
      <c r="P58" s="9">
        <v>1.0740000000000001</v>
      </c>
      <c r="Q58" s="20">
        <v>1.044</v>
      </c>
      <c r="R58" s="20">
        <v>1.0680000000000001</v>
      </c>
    </row>
    <row r="59" spans="1:18" ht="15" customHeight="1" x14ac:dyDescent="0.25">
      <c r="A59" s="17" t="s">
        <v>55</v>
      </c>
      <c r="B59" s="25">
        <v>1.01</v>
      </c>
      <c r="C59" s="25">
        <v>1.01</v>
      </c>
      <c r="D59" s="25" t="s">
        <v>632</v>
      </c>
      <c r="E59" s="25" t="s">
        <v>106</v>
      </c>
      <c r="F59" s="24">
        <v>1.014</v>
      </c>
      <c r="G59" s="24">
        <v>1.0109999999999999</v>
      </c>
      <c r="H59" s="24">
        <v>1.0349999999999999</v>
      </c>
      <c r="I59" s="24">
        <v>1.0349999999999999</v>
      </c>
      <c r="J59" s="24" t="s">
        <v>106</v>
      </c>
      <c r="K59" s="24" t="s">
        <v>106</v>
      </c>
      <c r="L59" s="24">
        <v>1.0209999999999999</v>
      </c>
      <c r="M59" s="24">
        <v>1.0089999999999999</v>
      </c>
      <c r="N59" s="24">
        <v>1.006</v>
      </c>
      <c r="O59" s="24">
        <v>1.01</v>
      </c>
      <c r="P59" s="24">
        <v>1.016</v>
      </c>
      <c r="Q59" s="25">
        <v>1.004</v>
      </c>
      <c r="R59" s="25">
        <v>1.018</v>
      </c>
    </row>
    <row r="60" spans="1:18" ht="15" customHeight="1" x14ac:dyDescent="0.25">
      <c r="A60" s="17" t="s">
        <v>57</v>
      </c>
      <c r="B60" s="25">
        <v>153</v>
      </c>
      <c r="C60" s="25">
        <v>152</v>
      </c>
      <c r="D60" s="25">
        <v>150</v>
      </c>
      <c r="E60" s="25">
        <v>154</v>
      </c>
      <c r="F60" s="24">
        <v>154</v>
      </c>
      <c r="G60" s="24">
        <v>150</v>
      </c>
      <c r="H60" s="24">
        <v>155</v>
      </c>
      <c r="I60" s="24">
        <v>158</v>
      </c>
      <c r="J60" s="24" t="s">
        <v>633</v>
      </c>
      <c r="K60" s="24">
        <v>153</v>
      </c>
      <c r="L60" s="24">
        <v>152</v>
      </c>
      <c r="M60" s="75">
        <v>152</v>
      </c>
      <c r="N60" s="24">
        <v>152</v>
      </c>
      <c r="O60" s="24">
        <v>152</v>
      </c>
      <c r="P60" s="24">
        <v>155</v>
      </c>
      <c r="Q60" s="25">
        <v>148</v>
      </c>
      <c r="R60" s="25">
        <v>156</v>
      </c>
    </row>
    <row r="61" spans="1:18" ht="15" customHeight="1" x14ac:dyDescent="0.25">
      <c r="A61" s="17" t="s">
        <v>58</v>
      </c>
      <c r="B61" s="67">
        <v>3942</v>
      </c>
      <c r="C61" s="67">
        <v>39944</v>
      </c>
      <c r="D61" s="67" t="s">
        <v>231</v>
      </c>
      <c r="E61" s="67">
        <v>1028</v>
      </c>
      <c r="F61" s="68" t="s">
        <v>635</v>
      </c>
      <c r="G61" s="68" t="s">
        <v>636</v>
      </c>
      <c r="H61" s="68">
        <v>1056</v>
      </c>
      <c r="I61" s="68" t="s">
        <v>348</v>
      </c>
      <c r="J61" s="68">
        <v>1010</v>
      </c>
      <c r="K61" s="68">
        <v>565</v>
      </c>
      <c r="L61" s="68">
        <v>3944</v>
      </c>
      <c r="M61" s="24">
        <v>1056</v>
      </c>
      <c r="N61" s="68" t="s">
        <v>637</v>
      </c>
      <c r="O61" s="68" t="s">
        <v>638</v>
      </c>
      <c r="P61" s="68" t="s">
        <v>199</v>
      </c>
      <c r="Q61" s="67" t="s">
        <v>639</v>
      </c>
      <c r="R61" s="67">
        <v>1968</v>
      </c>
    </row>
    <row r="62" spans="1:18" ht="15" customHeight="1" x14ac:dyDescent="0.25">
      <c r="A62" s="4"/>
      <c r="B62" s="4"/>
      <c r="C62" s="4"/>
      <c r="D62" s="4"/>
      <c r="E62" s="4"/>
      <c r="F62" s="4"/>
      <c r="H62" s="4"/>
      <c r="J62" s="4"/>
      <c r="L62" s="4"/>
      <c r="P62" s="4"/>
      <c r="Q62" s="4"/>
      <c r="R62" s="4"/>
    </row>
    <row r="63" spans="1:18" ht="120" customHeight="1" x14ac:dyDescent="0.25">
      <c r="A63" s="4"/>
      <c r="B63" s="40" t="s">
        <v>640</v>
      </c>
      <c r="C63" s="40" t="s">
        <v>641</v>
      </c>
      <c r="D63" s="50" t="s">
        <v>642</v>
      </c>
      <c r="E63" s="50" t="s">
        <v>643</v>
      </c>
      <c r="F63" s="23" t="s">
        <v>644</v>
      </c>
      <c r="G63" s="23" t="s">
        <v>645</v>
      </c>
      <c r="H63" s="23" t="s">
        <v>646</v>
      </c>
      <c r="I63" s="23" t="s">
        <v>647</v>
      </c>
      <c r="J63" s="23" t="s">
        <v>648</v>
      </c>
      <c r="K63" s="23" t="s">
        <v>649</v>
      </c>
      <c r="L63" s="23" t="s">
        <v>650</v>
      </c>
      <c r="M63" s="23" t="s">
        <v>651</v>
      </c>
      <c r="N63" s="23" t="s">
        <v>652</v>
      </c>
      <c r="O63" s="23" t="s">
        <v>653</v>
      </c>
      <c r="P63" s="23" t="s">
        <v>654</v>
      </c>
      <c r="Q63" s="50" t="s">
        <v>655</v>
      </c>
      <c r="R63" s="50" t="s">
        <v>656</v>
      </c>
    </row>
    <row r="64" spans="1:18" ht="15" customHeight="1" x14ac:dyDescent="0.25">
      <c r="A64" s="4"/>
      <c r="B64" s="4"/>
      <c r="C64" s="4"/>
      <c r="D64" s="4"/>
      <c r="E64" s="4"/>
      <c r="F64" s="4"/>
      <c r="H64" s="4"/>
      <c r="J64" s="4"/>
      <c r="L64" s="4"/>
      <c r="P64" s="4"/>
      <c r="Q64" s="4"/>
      <c r="R64" s="4"/>
    </row>
    <row r="65" spans="1:18" ht="45" customHeight="1" x14ac:dyDescent="0.25">
      <c r="A65" s="4"/>
      <c r="B65" s="6" t="s">
        <v>657</v>
      </c>
      <c r="C65" s="6" t="s">
        <v>658</v>
      </c>
      <c r="D65" s="50" t="s">
        <v>106</v>
      </c>
      <c r="E65" s="50" t="s">
        <v>659</v>
      </c>
      <c r="F65" s="23" t="s">
        <v>38</v>
      </c>
      <c r="G65" s="23" t="s">
        <v>626</v>
      </c>
      <c r="H65" s="23" t="s">
        <v>625</v>
      </c>
      <c r="I65" s="23" t="s">
        <v>660</v>
      </c>
      <c r="J65" s="23" t="s">
        <v>38</v>
      </c>
      <c r="K65" s="23" t="s">
        <v>661</v>
      </c>
      <c r="L65" s="23" t="s">
        <v>662</v>
      </c>
      <c r="M65" s="23" t="s">
        <v>106</v>
      </c>
      <c r="N65" s="23" t="s">
        <v>106</v>
      </c>
      <c r="O65" s="23" t="s">
        <v>663</v>
      </c>
      <c r="P65" s="23" t="s">
        <v>664</v>
      </c>
      <c r="Q65" s="50" t="s">
        <v>665</v>
      </c>
      <c r="R65" s="50" t="s">
        <v>625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5.85546875" customWidth="1"/>
    <col min="2" max="2" width="13.5703125" customWidth="1"/>
    <col min="3" max="3" width="11.85546875" customWidth="1"/>
    <col min="4" max="4" width="11" customWidth="1"/>
    <col min="5" max="5" width="10.85546875" customWidth="1"/>
    <col min="6" max="6" width="12" customWidth="1"/>
    <col min="7" max="7" width="9.5703125" customWidth="1"/>
  </cols>
  <sheetData>
    <row r="1" spans="1:7" ht="23.25" customHeight="1" x14ac:dyDescent="0.35">
      <c r="A1" s="3" t="s">
        <v>585</v>
      </c>
      <c r="B1" s="3"/>
      <c r="C1" s="4"/>
      <c r="D1" s="4"/>
      <c r="E1" s="4"/>
      <c r="F1" s="4"/>
    </row>
    <row r="2" spans="1:7" ht="23.25" customHeight="1" x14ac:dyDescent="0.35">
      <c r="A2" s="3"/>
      <c r="B2" s="3"/>
      <c r="C2" s="4"/>
      <c r="D2" s="4"/>
      <c r="E2" s="4"/>
      <c r="F2" s="4"/>
    </row>
    <row r="3" spans="1:7" ht="23.25" customHeight="1" x14ac:dyDescent="0.25">
      <c r="A3" s="4"/>
      <c r="B3" s="52">
        <v>2001</v>
      </c>
      <c r="C3" s="53">
        <v>2004</v>
      </c>
      <c r="D3" s="53">
        <v>2006</v>
      </c>
      <c r="E3" s="53">
        <v>2009</v>
      </c>
      <c r="F3" s="53">
        <v>2011</v>
      </c>
      <c r="G3" s="53">
        <v>2014</v>
      </c>
    </row>
    <row r="4" spans="1:7" ht="15" customHeight="1" x14ac:dyDescent="0.25">
      <c r="A4" s="17" t="s">
        <v>366</v>
      </c>
      <c r="B4" s="54"/>
      <c r="C4" s="54">
        <f>10/21</f>
        <v>0.47619047619047616</v>
      </c>
      <c r="D4" s="54">
        <f>5/14.25</f>
        <v>0.35087719298245612</v>
      </c>
      <c r="E4" s="54">
        <f>8.5/25.25</f>
        <v>0.33663366336633666</v>
      </c>
      <c r="F4" s="54"/>
      <c r="G4" s="54">
        <f>7/12.5</f>
        <v>0.56000000000000005</v>
      </c>
    </row>
    <row r="5" spans="1:7" ht="15" customHeight="1" x14ac:dyDescent="0.25">
      <c r="A5" s="17" t="s">
        <v>82</v>
      </c>
      <c r="B5" s="54"/>
      <c r="C5" s="54">
        <f>4/21</f>
        <v>0.19047619047619047</v>
      </c>
      <c r="D5" s="54"/>
      <c r="E5" s="54"/>
      <c r="F5" s="54"/>
      <c r="G5" s="54">
        <f t="shared" ref="G5:G6" si="0">2/12.5</f>
        <v>0.16</v>
      </c>
    </row>
    <row r="6" spans="1:7" ht="15" customHeight="1" x14ac:dyDescent="0.25">
      <c r="A6" s="17" t="s">
        <v>24</v>
      </c>
      <c r="B6" s="54">
        <f>3/20</f>
        <v>0.15</v>
      </c>
      <c r="C6" s="54">
        <f>5/21</f>
        <v>0.23809523809523808</v>
      </c>
      <c r="D6" s="54">
        <f>2/14.25</f>
        <v>0.14035087719298245</v>
      </c>
      <c r="E6" s="54">
        <f>3.5/25.25</f>
        <v>0.13861386138613863</v>
      </c>
      <c r="F6" s="54">
        <f>1/9.8</f>
        <v>0.1020408163265306</v>
      </c>
      <c r="G6" s="54">
        <f t="shared" si="0"/>
        <v>0.16</v>
      </c>
    </row>
    <row r="7" spans="1:7" ht="15" customHeight="1" x14ac:dyDescent="0.25">
      <c r="A7" s="17" t="s">
        <v>123</v>
      </c>
      <c r="B7" s="54"/>
      <c r="C7" s="54">
        <f>2/21</f>
        <v>9.5238095238095233E-2</v>
      </c>
      <c r="D7" s="54">
        <f>0.75/14.25</f>
        <v>5.2631578947368418E-2</v>
      </c>
      <c r="E7" s="54">
        <f>1.5/25.25</f>
        <v>5.9405940594059403E-2</v>
      </c>
      <c r="F7" s="54"/>
      <c r="G7" s="54">
        <f>0.75/12.5</f>
        <v>0.06</v>
      </c>
    </row>
    <row r="8" spans="1:7" ht="15" customHeight="1" x14ac:dyDescent="0.25">
      <c r="A8" s="17" t="s">
        <v>19</v>
      </c>
      <c r="B8" s="54">
        <f>15/20</f>
        <v>0.75</v>
      </c>
      <c r="C8" s="54"/>
      <c r="D8" s="54">
        <f>5.5/14.25</f>
        <v>0.38596491228070173</v>
      </c>
      <c r="E8" s="54">
        <f>11/25.25</f>
        <v>0.43564356435643564</v>
      </c>
      <c r="F8" s="54">
        <f>1.1/9.8</f>
        <v>0.11224489795918367</v>
      </c>
      <c r="G8" s="54"/>
    </row>
    <row r="9" spans="1:7" ht="15" customHeight="1" x14ac:dyDescent="0.25">
      <c r="A9" s="17" t="s">
        <v>74</v>
      </c>
      <c r="B9" s="54"/>
      <c r="C9" s="54"/>
      <c r="D9" s="54">
        <f>0.25/14.25</f>
        <v>1.7543859649122806E-2</v>
      </c>
      <c r="E9" s="54">
        <f>0.5/25.25</f>
        <v>1.9801980198019802E-2</v>
      </c>
      <c r="F9" s="54"/>
      <c r="G9" s="54">
        <f>0.25/12.5</f>
        <v>0.02</v>
      </c>
    </row>
    <row r="10" spans="1:7" ht="15" customHeight="1" x14ac:dyDescent="0.25">
      <c r="A10" s="17" t="s">
        <v>128</v>
      </c>
      <c r="B10" s="54"/>
      <c r="C10" s="54"/>
      <c r="D10" s="54">
        <f>0.75/14.25</f>
        <v>5.2631578947368418E-2</v>
      </c>
      <c r="E10" s="54"/>
      <c r="F10" s="54"/>
      <c r="G10" s="54"/>
    </row>
    <row r="11" spans="1:7" ht="15" customHeight="1" x14ac:dyDescent="0.25">
      <c r="A11" s="17" t="s">
        <v>174</v>
      </c>
      <c r="B11" s="54"/>
      <c r="C11" s="54"/>
      <c r="D11" s="54"/>
      <c r="E11" s="54">
        <f>0.25/25.25</f>
        <v>9.9009900990099011E-3</v>
      </c>
      <c r="F11" s="54"/>
      <c r="G11" s="54"/>
    </row>
    <row r="12" spans="1:7" ht="15" customHeight="1" x14ac:dyDescent="0.25">
      <c r="A12" s="17" t="s">
        <v>295</v>
      </c>
      <c r="B12" s="54"/>
      <c r="C12" s="54"/>
      <c r="D12" s="54"/>
      <c r="E12" s="54"/>
      <c r="F12" s="54">
        <f>6.9/9.8</f>
        <v>0.70408163265306123</v>
      </c>
      <c r="G12" s="54"/>
    </row>
    <row r="13" spans="1:7" ht="15" customHeight="1" x14ac:dyDescent="0.25">
      <c r="A13" s="17" t="s">
        <v>122</v>
      </c>
      <c r="B13" s="54"/>
      <c r="C13" s="54"/>
      <c r="D13" s="54"/>
      <c r="E13" s="54"/>
      <c r="F13" s="54">
        <f>0.7/9.8</f>
        <v>7.1428571428571425E-2</v>
      </c>
      <c r="G13" s="54"/>
    </row>
    <row r="14" spans="1:7" ht="15" customHeight="1" x14ac:dyDescent="0.25">
      <c r="A14" s="17" t="s">
        <v>125</v>
      </c>
      <c r="B14" s="54"/>
      <c r="C14" s="54"/>
      <c r="D14" s="54"/>
      <c r="E14" s="54"/>
      <c r="F14" s="54">
        <f>0.1/9.8</f>
        <v>1.020408163265306E-2</v>
      </c>
      <c r="G14" s="54">
        <f t="shared" ref="G14:G15" si="1">0.125/12.5</f>
        <v>0.01</v>
      </c>
    </row>
    <row r="15" spans="1:7" ht="15" customHeight="1" x14ac:dyDescent="0.25">
      <c r="A15" s="17" t="s">
        <v>157</v>
      </c>
      <c r="B15" s="54"/>
      <c r="C15" s="54"/>
      <c r="D15" s="54"/>
      <c r="E15" s="54"/>
      <c r="F15" s="54"/>
      <c r="G15" s="54">
        <f t="shared" si="1"/>
        <v>0.01</v>
      </c>
    </row>
    <row r="16" spans="1:7" ht="15" customHeight="1" x14ac:dyDescent="0.25">
      <c r="A16" s="17" t="s">
        <v>34</v>
      </c>
      <c r="B16" s="54"/>
      <c r="C16" s="54"/>
      <c r="D16" s="54"/>
      <c r="E16" s="54"/>
      <c r="F16" s="54"/>
      <c r="G16" s="54">
        <f>0.25/12.5</f>
        <v>0.02</v>
      </c>
    </row>
    <row r="17" spans="1:7" ht="15" customHeight="1" x14ac:dyDescent="0.25">
      <c r="A17" s="48" t="s">
        <v>292</v>
      </c>
      <c r="B17" s="54">
        <f>1/20</f>
        <v>0.05</v>
      </c>
      <c r="C17" s="54"/>
      <c r="D17" s="54"/>
      <c r="E17" s="54"/>
      <c r="F17" s="54"/>
      <c r="G17" s="54"/>
    </row>
    <row r="18" spans="1:7" ht="15" customHeight="1" x14ac:dyDescent="0.25">
      <c r="A18" s="48" t="s">
        <v>248</v>
      </c>
      <c r="B18" s="54">
        <f>0.66/20</f>
        <v>3.3000000000000002E-2</v>
      </c>
      <c r="C18" s="54"/>
      <c r="D18" s="54"/>
      <c r="E18" s="54"/>
      <c r="F18" s="54"/>
      <c r="G18" s="54"/>
    </row>
    <row r="19" spans="1:7" ht="15" customHeight="1" x14ac:dyDescent="0.25">
      <c r="A19" s="48" t="s">
        <v>293</v>
      </c>
      <c r="B19" s="54">
        <f>0.33/20</f>
        <v>1.6500000000000001E-2</v>
      </c>
      <c r="C19" s="54"/>
      <c r="D19" s="54"/>
      <c r="E19" s="54"/>
      <c r="F19" s="54"/>
      <c r="G19" s="54"/>
    </row>
    <row r="20" spans="1:7" ht="15" customHeight="1" x14ac:dyDescent="0.25">
      <c r="A20" s="27"/>
      <c r="B20" s="58"/>
      <c r="C20" s="58"/>
      <c r="D20" s="58"/>
      <c r="E20" s="58"/>
      <c r="F20" s="58"/>
      <c r="G20" s="58"/>
    </row>
    <row r="21" spans="1:7" ht="15" customHeight="1" x14ac:dyDescent="0.25">
      <c r="A21" s="27"/>
      <c r="B21" s="58"/>
      <c r="C21" s="58"/>
      <c r="D21" s="58"/>
      <c r="E21" s="58"/>
      <c r="F21" s="58"/>
      <c r="G21" s="58"/>
    </row>
    <row r="22" spans="1:7" ht="15" customHeight="1" x14ac:dyDescent="0.25">
      <c r="A22" s="17" t="s">
        <v>28</v>
      </c>
      <c r="B22" s="9"/>
      <c r="C22" s="9" t="s">
        <v>36</v>
      </c>
      <c r="D22" s="9"/>
      <c r="E22" s="9"/>
      <c r="F22" s="9"/>
      <c r="G22" s="9"/>
    </row>
    <row r="23" spans="1:7" ht="15" customHeight="1" x14ac:dyDescent="0.25">
      <c r="A23" s="17" t="s">
        <v>96</v>
      </c>
      <c r="B23" s="22" t="s">
        <v>138</v>
      </c>
      <c r="C23" s="19"/>
      <c r="D23" s="19"/>
      <c r="E23" s="19"/>
      <c r="F23" s="19"/>
      <c r="G23" s="19"/>
    </row>
    <row r="24" spans="1:7" ht="15" customHeight="1" x14ac:dyDescent="0.25">
      <c r="A24" s="18" t="s">
        <v>31</v>
      </c>
      <c r="B24" s="19"/>
      <c r="C24" s="19" t="s">
        <v>36</v>
      </c>
      <c r="D24" s="9" t="s">
        <v>36</v>
      </c>
      <c r="E24" s="9" t="s">
        <v>36</v>
      </c>
      <c r="F24" s="19" t="s">
        <v>49</v>
      </c>
      <c r="G24" s="19" t="s">
        <v>256</v>
      </c>
    </row>
    <row r="25" spans="1:7" ht="15" customHeight="1" x14ac:dyDescent="0.25">
      <c r="A25" s="18" t="s">
        <v>39</v>
      </c>
      <c r="B25" s="19"/>
      <c r="C25" s="19"/>
      <c r="D25" s="19"/>
      <c r="E25" s="19"/>
      <c r="F25" s="19"/>
      <c r="G25" s="19"/>
    </row>
    <row r="26" spans="1:7" ht="15" customHeight="1" x14ac:dyDescent="0.25">
      <c r="A26" s="18" t="s">
        <v>40</v>
      </c>
      <c r="B26" s="19"/>
      <c r="C26" s="19"/>
      <c r="D26" s="19"/>
      <c r="E26" s="19"/>
      <c r="F26" s="19"/>
      <c r="G26" s="19"/>
    </row>
    <row r="27" spans="1:7" ht="15" customHeight="1" x14ac:dyDescent="0.25">
      <c r="A27" s="18" t="s">
        <v>85</v>
      </c>
      <c r="B27" s="19"/>
      <c r="C27" s="19"/>
      <c r="D27" s="9" t="s">
        <v>36</v>
      </c>
      <c r="E27" s="19"/>
      <c r="F27" s="19"/>
      <c r="G27" s="19"/>
    </row>
    <row r="28" spans="1:7" ht="15" customHeight="1" x14ac:dyDescent="0.25">
      <c r="A28" s="18" t="s">
        <v>41</v>
      </c>
      <c r="B28" s="19"/>
      <c r="C28" s="19"/>
      <c r="D28" s="19"/>
      <c r="E28" s="9" t="s">
        <v>36</v>
      </c>
      <c r="F28" s="19"/>
      <c r="G28" s="19" t="s">
        <v>256</v>
      </c>
    </row>
    <row r="29" spans="1:7" ht="15" customHeight="1" x14ac:dyDescent="0.25">
      <c r="A29" s="18" t="s">
        <v>43</v>
      </c>
      <c r="B29" s="22" t="s">
        <v>138</v>
      </c>
      <c r="C29" s="19"/>
      <c r="D29" s="19"/>
      <c r="E29" s="19"/>
      <c r="F29" s="19"/>
      <c r="G29" s="19"/>
    </row>
    <row r="30" spans="1:7" ht="15" customHeight="1" x14ac:dyDescent="0.25">
      <c r="A30" s="18" t="s">
        <v>44</v>
      </c>
      <c r="B30" s="19"/>
      <c r="C30" s="19"/>
      <c r="D30" s="19"/>
      <c r="E30" s="19"/>
      <c r="F30" s="19" t="s">
        <v>49</v>
      </c>
      <c r="G30" s="19"/>
    </row>
    <row r="31" spans="1:7" ht="15" customHeight="1" x14ac:dyDescent="0.25">
      <c r="A31" s="18" t="s">
        <v>45</v>
      </c>
      <c r="B31" s="19"/>
      <c r="C31" s="19"/>
      <c r="D31" s="19"/>
      <c r="E31" s="19"/>
      <c r="F31" s="19"/>
      <c r="G31" s="19"/>
    </row>
    <row r="32" spans="1:7" ht="15" customHeight="1" x14ac:dyDescent="0.25">
      <c r="A32" s="18" t="s">
        <v>52</v>
      </c>
      <c r="B32" s="19"/>
      <c r="C32" s="19"/>
      <c r="D32" s="19"/>
      <c r="E32" s="19"/>
      <c r="F32" s="19"/>
      <c r="G32" s="19"/>
    </row>
    <row r="33" spans="1:7" ht="15" customHeight="1" x14ac:dyDescent="0.25">
      <c r="A33" s="58"/>
      <c r="B33" s="4"/>
      <c r="C33" s="4"/>
      <c r="D33" s="4"/>
      <c r="E33" s="4"/>
      <c r="F33" s="4"/>
    </row>
    <row r="34" spans="1:7" ht="15" customHeight="1" x14ac:dyDescent="0.25">
      <c r="A34" s="17" t="s">
        <v>53</v>
      </c>
      <c r="B34" s="20">
        <v>1.06</v>
      </c>
      <c r="C34" s="9">
        <v>1.06</v>
      </c>
      <c r="D34" s="9">
        <v>1.0609999999999999</v>
      </c>
      <c r="E34" s="9">
        <v>1.056</v>
      </c>
      <c r="F34" s="9">
        <v>1.0569999999999999</v>
      </c>
      <c r="G34" s="9">
        <v>1.06</v>
      </c>
    </row>
    <row r="35" spans="1:7" ht="15" customHeight="1" x14ac:dyDescent="0.25">
      <c r="A35" s="17" t="s">
        <v>55</v>
      </c>
      <c r="B35" s="25" t="s">
        <v>106</v>
      </c>
      <c r="C35" s="24">
        <v>1.018</v>
      </c>
      <c r="D35" s="24" t="s">
        <v>106</v>
      </c>
      <c r="E35" s="24">
        <v>1.0149999999999999</v>
      </c>
      <c r="F35" s="24">
        <v>1.0129999999999999</v>
      </c>
      <c r="G35" s="24" t="s">
        <v>106</v>
      </c>
    </row>
    <row r="36" spans="1:7" ht="15" customHeight="1" x14ac:dyDescent="0.25">
      <c r="A36" s="17" t="s">
        <v>57</v>
      </c>
      <c r="B36" s="25" t="s">
        <v>591</v>
      </c>
      <c r="C36" s="24" t="s">
        <v>146</v>
      </c>
      <c r="D36" s="24">
        <v>154</v>
      </c>
      <c r="E36" s="24">
        <v>154</v>
      </c>
      <c r="F36" s="24" t="s">
        <v>146</v>
      </c>
      <c r="G36" s="24">
        <v>154</v>
      </c>
    </row>
    <row r="37" spans="1:7" ht="15" customHeight="1" x14ac:dyDescent="0.25">
      <c r="A37" s="17" t="s">
        <v>58</v>
      </c>
      <c r="B37" s="67">
        <v>2124</v>
      </c>
      <c r="C37" s="68">
        <v>830</v>
      </c>
      <c r="D37" s="68">
        <v>838</v>
      </c>
      <c r="E37" s="68">
        <v>820</v>
      </c>
      <c r="F37" s="68">
        <v>2633</v>
      </c>
      <c r="G37" s="68">
        <v>2124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6.140625" customWidth="1"/>
    <col min="2" max="4" width="13.5703125" customWidth="1"/>
    <col min="5" max="5" width="11.42578125" customWidth="1"/>
    <col min="6" max="6" width="10.28515625" customWidth="1"/>
    <col min="7" max="7" width="13.140625" customWidth="1"/>
    <col min="8" max="8" width="12.7109375" customWidth="1"/>
    <col min="9" max="9" width="7.5703125" customWidth="1"/>
  </cols>
  <sheetData>
    <row r="1" spans="1:8" ht="23.25" customHeight="1" x14ac:dyDescent="0.35">
      <c r="A1" s="3" t="s">
        <v>596</v>
      </c>
      <c r="B1" s="3"/>
      <c r="C1" s="3"/>
      <c r="D1" s="3"/>
      <c r="E1" s="4"/>
      <c r="F1" s="4"/>
      <c r="G1" s="4"/>
      <c r="H1" s="4"/>
    </row>
    <row r="2" spans="1:8" ht="23.25" customHeight="1" x14ac:dyDescent="0.35">
      <c r="A2" s="3"/>
      <c r="B2" s="3"/>
      <c r="C2" s="3"/>
      <c r="D2" s="3"/>
      <c r="E2" s="4"/>
      <c r="F2" s="4"/>
      <c r="G2" s="4"/>
      <c r="H2" s="4"/>
    </row>
    <row r="3" spans="1:8" ht="23.25" customHeight="1" x14ac:dyDescent="0.25">
      <c r="A3" s="4"/>
      <c r="B3" s="52">
        <v>2000</v>
      </c>
      <c r="C3" s="52">
        <v>2002</v>
      </c>
      <c r="D3" s="52">
        <v>2003</v>
      </c>
      <c r="E3" s="53">
        <v>2005</v>
      </c>
      <c r="F3" s="53">
        <v>2007</v>
      </c>
      <c r="G3" s="53">
        <v>2008</v>
      </c>
      <c r="H3" s="53">
        <v>2012</v>
      </c>
    </row>
    <row r="4" spans="1:8" ht="15" customHeight="1" x14ac:dyDescent="0.25">
      <c r="A4" s="17" t="s">
        <v>214</v>
      </c>
      <c r="B4" s="54"/>
      <c r="C4" s="54"/>
      <c r="D4" s="54"/>
      <c r="E4" s="54">
        <f>37.8/55.2</f>
        <v>0.68478260869565211</v>
      </c>
      <c r="F4" s="54"/>
      <c r="G4" s="54"/>
      <c r="H4" s="54">
        <f>13/18.75</f>
        <v>0.69333333333333336</v>
      </c>
    </row>
    <row r="5" spans="1:8" ht="15" customHeight="1" x14ac:dyDescent="0.25">
      <c r="A5" s="17" t="s">
        <v>155</v>
      </c>
      <c r="B5" s="54"/>
      <c r="C5" s="54"/>
      <c r="D5" s="54"/>
      <c r="E5" s="54">
        <f>4.8/55.2</f>
        <v>8.6956521739130432E-2</v>
      </c>
      <c r="F5" s="54"/>
      <c r="G5" s="54"/>
      <c r="H5" s="54">
        <f>0.75/18.75</f>
        <v>0.04</v>
      </c>
    </row>
    <row r="6" spans="1:8" ht="15" customHeight="1" x14ac:dyDescent="0.25">
      <c r="A6" s="17" t="s">
        <v>17</v>
      </c>
      <c r="B6" s="54"/>
      <c r="C6" s="54"/>
      <c r="D6" s="54"/>
      <c r="E6" s="54">
        <f>4/55.2</f>
        <v>7.2463768115942032E-2</v>
      </c>
      <c r="F6" s="54"/>
      <c r="G6" s="54"/>
      <c r="H6" s="54"/>
    </row>
    <row r="7" spans="1:8" ht="15" customHeight="1" x14ac:dyDescent="0.25">
      <c r="A7" s="17" t="s">
        <v>167</v>
      </c>
      <c r="B7" s="54"/>
      <c r="C7" s="54"/>
      <c r="D7" s="54"/>
      <c r="E7" s="54">
        <f>2.6/55.2</f>
        <v>4.710144927536232E-2</v>
      </c>
      <c r="F7" s="54"/>
      <c r="G7" s="54"/>
      <c r="H7" s="54"/>
    </row>
    <row r="8" spans="1:8" ht="15" customHeight="1" x14ac:dyDescent="0.25">
      <c r="A8" s="17" t="s">
        <v>154</v>
      </c>
      <c r="B8" s="54"/>
      <c r="C8" s="54"/>
      <c r="D8" s="54"/>
      <c r="E8" s="54">
        <f>2.4/55.2</f>
        <v>4.3478260869565216E-2</v>
      </c>
      <c r="F8" s="54"/>
      <c r="G8" s="54"/>
      <c r="H8" s="54"/>
    </row>
    <row r="9" spans="1:8" ht="15" customHeight="1" x14ac:dyDescent="0.25">
      <c r="A9" s="17" t="s">
        <v>283</v>
      </c>
      <c r="B9" s="54">
        <f>0.13/24</f>
        <v>5.4166666666666669E-3</v>
      </c>
      <c r="C9" s="54"/>
      <c r="D9" s="54"/>
      <c r="E9" s="54">
        <f>3.6/55.2</f>
        <v>6.5217391304347824E-2</v>
      </c>
      <c r="F9" s="54"/>
      <c r="G9" s="54"/>
      <c r="H9" s="54">
        <f>1/18.75</f>
        <v>5.3333333333333337E-2</v>
      </c>
    </row>
    <row r="10" spans="1:8" ht="15" customHeight="1" x14ac:dyDescent="0.25">
      <c r="A10" s="17" t="s">
        <v>82</v>
      </c>
      <c r="B10" s="54"/>
      <c r="C10" s="54"/>
      <c r="D10" s="54"/>
      <c r="E10" s="54"/>
      <c r="F10" s="54">
        <f>10/20.375</f>
        <v>0.49079754601226994</v>
      </c>
      <c r="G10" s="54"/>
      <c r="H10" s="54"/>
    </row>
    <row r="11" spans="1:8" ht="15" customHeight="1" x14ac:dyDescent="0.25">
      <c r="A11" s="17" t="s">
        <v>634</v>
      </c>
      <c r="B11" s="54"/>
      <c r="C11" s="54"/>
      <c r="D11" s="54"/>
      <c r="E11" s="54"/>
      <c r="F11" s="54">
        <f t="shared" ref="F11:F13" si="0">2/20.375</f>
        <v>9.815950920245399E-2</v>
      </c>
      <c r="G11" s="54"/>
      <c r="H11" s="54"/>
    </row>
    <row r="12" spans="1:8" ht="15" customHeight="1" x14ac:dyDescent="0.25">
      <c r="A12" s="17" t="s">
        <v>122</v>
      </c>
      <c r="B12" s="54">
        <f t="shared" ref="B12:B13" si="1">1/24</f>
        <v>4.1666666666666664E-2</v>
      </c>
      <c r="C12" s="54">
        <f>1/23.5</f>
        <v>4.2553191489361701E-2</v>
      </c>
      <c r="D12" s="54"/>
      <c r="E12" s="54"/>
      <c r="F12" s="54">
        <f t="shared" si="0"/>
        <v>9.815950920245399E-2</v>
      </c>
      <c r="G12" s="54"/>
      <c r="H12" s="54"/>
    </row>
    <row r="13" spans="1:8" ht="15" customHeight="1" x14ac:dyDescent="0.25">
      <c r="A13" s="17" t="s">
        <v>157</v>
      </c>
      <c r="B13" s="54">
        <f t="shared" si="1"/>
        <v>4.1666666666666664E-2</v>
      </c>
      <c r="C13" s="54">
        <f>1.5/23.5</f>
        <v>6.3829787234042548E-2</v>
      </c>
      <c r="D13" s="54"/>
      <c r="E13" s="54"/>
      <c r="F13" s="54">
        <f t="shared" si="0"/>
        <v>9.815950920245399E-2</v>
      </c>
      <c r="G13" s="54">
        <f>1.5/19.25</f>
        <v>7.792207792207792E-2</v>
      </c>
      <c r="H13" s="54"/>
    </row>
    <row r="14" spans="1:8" ht="15" customHeight="1" x14ac:dyDescent="0.25">
      <c r="A14" s="17" t="s">
        <v>250</v>
      </c>
      <c r="B14" s="54">
        <f>0.38/24</f>
        <v>1.5833333333333335E-2</v>
      </c>
      <c r="C14" s="54"/>
      <c r="D14" s="54"/>
      <c r="E14" s="54"/>
      <c r="F14" s="54">
        <f>1/20.375</f>
        <v>4.9079754601226995E-2</v>
      </c>
      <c r="G14" s="54"/>
      <c r="H14" s="54"/>
    </row>
    <row r="15" spans="1:8" ht="15" customHeight="1" x14ac:dyDescent="0.25">
      <c r="A15" s="17" t="s">
        <v>25</v>
      </c>
      <c r="B15" s="54"/>
      <c r="C15" s="54"/>
      <c r="D15" s="54"/>
      <c r="E15" s="54"/>
      <c r="F15" s="61">
        <f>3/20.375</f>
        <v>0.14723926380368099</v>
      </c>
      <c r="G15" s="54"/>
      <c r="H15" s="54"/>
    </row>
    <row r="16" spans="1:8" ht="15" customHeight="1" x14ac:dyDescent="0.25">
      <c r="A16" s="17" t="s">
        <v>129</v>
      </c>
      <c r="B16" s="54"/>
      <c r="C16" s="54"/>
      <c r="D16" s="54"/>
      <c r="E16" s="54"/>
      <c r="F16" s="54">
        <f>0.375/20.375</f>
        <v>1.8404907975460124E-2</v>
      </c>
      <c r="G16" s="54"/>
      <c r="H16" s="54">
        <f>0.5/18.75</f>
        <v>2.6666666666666668E-2</v>
      </c>
    </row>
    <row r="17" spans="1:8" ht="15" customHeight="1" x14ac:dyDescent="0.25">
      <c r="A17" s="17" t="s">
        <v>38</v>
      </c>
      <c r="B17" s="54"/>
      <c r="C17" s="54">
        <f>1/23.5</f>
        <v>4.2553191489361701E-2</v>
      </c>
      <c r="D17" s="54"/>
      <c r="E17" s="54"/>
      <c r="F17" s="54"/>
      <c r="G17" s="54">
        <f>8/19.25</f>
        <v>0.41558441558441561</v>
      </c>
      <c r="H17" s="54">
        <f>1.5/18.75</f>
        <v>0.08</v>
      </c>
    </row>
    <row r="18" spans="1:8" ht="15" customHeight="1" x14ac:dyDescent="0.25">
      <c r="A18" s="17" t="s">
        <v>668</v>
      </c>
      <c r="B18" s="54"/>
      <c r="C18" s="54"/>
      <c r="D18" s="54"/>
      <c r="E18" s="54"/>
      <c r="F18" s="54"/>
      <c r="G18" s="54">
        <f>6/19.25</f>
        <v>0.31168831168831168</v>
      </c>
      <c r="H18" s="54"/>
    </row>
    <row r="19" spans="1:8" ht="15" customHeight="1" x14ac:dyDescent="0.25">
      <c r="A19" s="17" t="s">
        <v>670</v>
      </c>
      <c r="B19" s="54"/>
      <c r="C19" s="54"/>
      <c r="D19" s="54"/>
      <c r="E19" s="54"/>
      <c r="F19" s="54"/>
      <c r="G19" s="54">
        <f>1.5/19.25</f>
        <v>7.792207792207792E-2</v>
      </c>
      <c r="H19" s="54"/>
    </row>
    <row r="20" spans="1:8" ht="15" customHeight="1" x14ac:dyDescent="0.25">
      <c r="A20" s="17" t="s">
        <v>239</v>
      </c>
      <c r="B20" s="54"/>
      <c r="C20" s="54"/>
      <c r="D20" s="54"/>
      <c r="E20" s="54"/>
      <c r="F20" s="54"/>
      <c r="G20" s="54">
        <f>0.25/19.25</f>
        <v>1.2987012987012988E-2</v>
      </c>
      <c r="H20" s="54"/>
    </row>
    <row r="21" spans="1:8" ht="15" customHeight="1" x14ac:dyDescent="0.25">
      <c r="A21" s="17" t="s">
        <v>424</v>
      </c>
      <c r="B21" s="54"/>
      <c r="C21" s="54"/>
      <c r="D21" s="54"/>
      <c r="E21" s="54"/>
      <c r="F21" s="54"/>
      <c r="G21" s="54">
        <f>2/19.25</f>
        <v>0.1038961038961039</v>
      </c>
      <c r="H21" s="54"/>
    </row>
    <row r="22" spans="1:8" ht="15" customHeight="1" x14ac:dyDescent="0.25">
      <c r="A22" s="17" t="s">
        <v>175</v>
      </c>
      <c r="B22" s="54"/>
      <c r="C22" s="54"/>
      <c r="D22" s="54"/>
      <c r="E22" s="54"/>
      <c r="F22" s="54"/>
      <c r="G22" s="54"/>
      <c r="H22" s="54">
        <f>1.5/18.75</f>
        <v>0.08</v>
      </c>
    </row>
    <row r="23" spans="1:8" ht="15" customHeight="1" x14ac:dyDescent="0.25">
      <c r="A23" s="17" t="s">
        <v>165</v>
      </c>
      <c r="B23" s="54"/>
      <c r="C23" s="54"/>
      <c r="D23" s="54"/>
      <c r="E23" s="54"/>
      <c r="F23" s="54"/>
      <c r="G23" s="54"/>
      <c r="H23" s="54">
        <f>0.5/18.75</f>
        <v>2.6666666666666668E-2</v>
      </c>
    </row>
    <row r="24" spans="1:8" ht="15" customHeight="1" x14ac:dyDescent="0.25">
      <c r="A24" s="48" t="s">
        <v>112</v>
      </c>
      <c r="B24" s="54">
        <f>12.5/24</f>
        <v>0.52083333333333337</v>
      </c>
      <c r="C24" s="54">
        <f>12.5/23.5</f>
        <v>0.53191489361702127</v>
      </c>
      <c r="D24" s="54"/>
      <c r="E24" s="54"/>
      <c r="F24" s="54"/>
      <c r="G24" s="54"/>
      <c r="H24" s="54"/>
    </row>
    <row r="25" spans="1:8" ht="15" customHeight="1" x14ac:dyDescent="0.25">
      <c r="A25" s="48" t="s">
        <v>366</v>
      </c>
      <c r="B25" s="54">
        <f>6/24</f>
        <v>0.25</v>
      </c>
      <c r="C25" s="54"/>
      <c r="D25" s="54"/>
      <c r="E25" s="54"/>
      <c r="F25" s="54"/>
      <c r="G25" s="54"/>
      <c r="H25" s="54"/>
    </row>
    <row r="26" spans="1:8" ht="15" customHeight="1" x14ac:dyDescent="0.25">
      <c r="A26" s="48" t="s">
        <v>24</v>
      </c>
      <c r="B26" s="54">
        <f>2/24</f>
        <v>8.3333333333333329E-2</v>
      </c>
      <c r="C26" s="54">
        <f>2.5/23.5</f>
        <v>0.10638297872340426</v>
      </c>
      <c r="D26" s="54"/>
      <c r="E26" s="54"/>
      <c r="F26" s="54"/>
      <c r="G26" s="54"/>
      <c r="H26" s="54"/>
    </row>
    <row r="27" spans="1:8" ht="15" customHeight="1" x14ac:dyDescent="0.25">
      <c r="A27" s="48" t="s">
        <v>123</v>
      </c>
      <c r="B27" s="54">
        <f>1/24</f>
        <v>4.1666666666666664E-2</v>
      </c>
      <c r="C27" s="54">
        <f>1/23.5</f>
        <v>4.2553191489361701E-2</v>
      </c>
      <c r="D27" s="54"/>
      <c r="E27" s="54"/>
      <c r="F27" s="54"/>
      <c r="G27" s="54"/>
      <c r="H27" s="54"/>
    </row>
    <row r="28" spans="1:8" ht="15" customHeight="1" x14ac:dyDescent="0.25">
      <c r="A28" s="48" t="s">
        <v>19</v>
      </c>
      <c r="B28" s="54"/>
      <c r="C28" s="54">
        <f>3/23.5</f>
        <v>0.1276595744680851</v>
      </c>
      <c r="D28" s="54"/>
      <c r="E28" s="54"/>
      <c r="F28" s="54"/>
      <c r="G28" s="54"/>
      <c r="H28" s="54"/>
    </row>
    <row r="29" spans="1:8" ht="15" customHeight="1" x14ac:dyDescent="0.25">
      <c r="A29" s="48" t="s">
        <v>287</v>
      </c>
      <c r="B29" s="54"/>
      <c r="C29" s="54">
        <f>1/23.5</f>
        <v>4.2553191489361701E-2</v>
      </c>
      <c r="D29" s="54"/>
      <c r="E29" s="54"/>
      <c r="F29" s="54"/>
      <c r="G29" s="54"/>
      <c r="H29" s="54"/>
    </row>
    <row r="30" spans="1:8" ht="15" customHeight="1" x14ac:dyDescent="0.25">
      <c r="A30" s="48" t="s">
        <v>496</v>
      </c>
      <c r="B30" s="54"/>
      <c r="C30" s="54"/>
      <c r="D30" s="54">
        <f>6.6/8.6</f>
        <v>0.76744186046511631</v>
      </c>
      <c r="E30" s="54"/>
      <c r="F30" s="54"/>
      <c r="G30" s="54"/>
      <c r="H30" s="54"/>
    </row>
    <row r="31" spans="1:8" ht="15" customHeight="1" x14ac:dyDescent="0.25">
      <c r="A31" s="48" t="s">
        <v>675</v>
      </c>
      <c r="B31" s="54"/>
      <c r="C31" s="54"/>
      <c r="D31" s="54">
        <f t="shared" ref="D31:D32" si="2">1/8.6</f>
        <v>0.11627906976744186</v>
      </c>
      <c r="E31" s="54"/>
      <c r="F31" s="54"/>
      <c r="G31" s="54"/>
      <c r="H31" s="54"/>
    </row>
    <row r="32" spans="1:8" ht="15" customHeight="1" x14ac:dyDescent="0.25">
      <c r="A32" s="48" t="s">
        <v>471</v>
      </c>
      <c r="B32" s="54"/>
      <c r="C32" s="54"/>
      <c r="D32" s="54">
        <f t="shared" si="2"/>
        <v>0.11627906976744186</v>
      </c>
      <c r="E32" s="54"/>
      <c r="F32" s="54"/>
      <c r="G32" s="54"/>
      <c r="H32" s="54"/>
    </row>
    <row r="33" spans="1:8" ht="15" customHeight="1" x14ac:dyDescent="0.25">
      <c r="A33" s="27"/>
      <c r="B33" s="58"/>
      <c r="C33" s="58"/>
      <c r="D33" s="58"/>
      <c r="E33" s="58"/>
      <c r="F33" s="58"/>
      <c r="G33" s="58"/>
      <c r="H33" s="58"/>
    </row>
    <row r="34" spans="1:8" ht="15" customHeight="1" x14ac:dyDescent="0.25">
      <c r="A34" s="27"/>
      <c r="B34" s="58"/>
      <c r="C34" s="58"/>
      <c r="D34" s="58"/>
      <c r="E34" s="58"/>
      <c r="F34" s="58"/>
      <c r="G34" s="58"/>
      <c r="H34" s="58"/>
    </row>
    <row r="35" spans="1:8" ht="15" customHeight="1" x14ac:dyDescent="0.25">
      <c r="A35" s="17" t="s">
        <v>28</v>
      </c>
      <c r="B35" s="9"/>
      <c r="C35" s="9"/>
      <c r="D35" s="9"/>
      <c r="E35" s="9" t="s">
        <v>273</v>
      </c>
      <c r="F35" s="9"/>
      <c r="G35" s="9"/>
      <c r="H35" s="9"/>
    </row>
    <row r="36" spans="1:8" ht="15" customHeight="1" x14ac:dyDescent="0.25">
      <c r="A36" s="17" t="s">
        <v>96</v>
      </c>
      <c r="B36" s="19"/>
      <c r="C36" s="19"/>
      <c r="D36" s="19"/>
      <c r="E36" s="19"/>
      <c r="F36" s="19"/>
      <c r="G36" s="19"/>
      <c r="H36" s="19"/>
    </row>
    <row r="37" spans="1:8" ht="30" customHeight="1" x14ac:dyDescent="0.25">
      <c r="A37" s="18" t="s">
        <v>31</v>
      </c>
      <c r="B37" s="22" t="s">
        <v>195</v>
      </c>
      <c r="C37" s="22" t="s">
        <v>195</v>
      </c>
      <c r="D37" s="19"/>
      <c r="E37" s="19" t="s">
        <v>133</v>
      </c>
      <c r="F37" s="9"/>
      <c r="G37" s="9" t="s">
        <v>42</v>
      </c>
      <c r="H37" s="19" t="s">
        <v>223</v>
      </c>
    </row>
    <row r="38" spans="1:8" ht="15" customHeight="1" x14ac:dyDescent="0.25">
      <c r="A38" s="18" t="s">
        <v>39</v>
      </c>
      <c r="B38" s="19"/>
      <c r="C38" s="19"/>
      <c r="D38" s="22" t="s">
        <v>36</v>
      </c>
      <c r="E38" s="19"/>
      <c r="F38" s="19" t="s">
        <v>56</v>
      </c>
      <c r="G38" s="19"/>
      <c r="H38" s="19"/>
    </row>
    <row r="39" spans="1:8" ht="15" customHeight="1" x14ac:dyDescent="0.25">
      <c r="A39" s="18" t="s">
        <v>40</v>
      </c>
      <c r="B39" s="19"/>
      <c r="C39" s="19"/>
      <c r="D39" s="19"/>
      <c r="E39" s="19" t="s">
        <v>206</v>
      </c>
      <c r="F39" s="19"/>
      <c r="G39" s="19"/>
      <c r="H39" s="19" t="s">
        <v>196</v>
      </c>
    </row>
    <row r="40" spans="1:8" ht="15" customHeight="1" x14ac:dyDescent="0.25">
      <c r="A40" s="18" t="s">
        <v>85</v>
      </c>
      <c r="B40" s="19"/>
      <c r="C40" s="19"/>
      <c r="D40" s="19"/>
      <c r="E40" s="19"/>
      <c r="F40" s="9"/>
      <c r="G40" s="19"/>
      <c r="H40" s="19"/>
    </row>
    <row r="41" spans="1:8" ht="15" customHeight="1" x14ac:dyDescent="0.25">
      <c r="A41" s="18" t="s">
        <v>41</v>
      </c>
      <c r="B41" s="19"/>
      <c r="C41" s="19"/>
      <c r="D41" s="19"/>
      <c r="E41" s="19" t="s">
        <v>206</v>
      </c>
      <c r="F41" s="19"/>
      <c r="G41" s="9"/>
      <c r="H41" s="19"/>
    </row>
    <row r="42" spans="1:8" ht="15" customHeight="1" x14ac:dyDescent="0.25">
      <c r="A42" s="18" t="s">
        <v>43</v>
      </c>
      <c r="B42" s="19"/>
      <c r="C42" s="19"/>
      <c r="D42" s="19"/>
      <c r="E42" s="19"/>
      <c r="F42" s="19"/>
      <c r="G42" s="19"/>
      <c r="H42" s="19"/>
    </row>
    <row r="43" spans="1:8" ht="15" customHeight="1" x14ac:dyDescent="0.25">
      <c r="A43" s="18" t="s">
        <v>44</v>
      </c>
      <c r="B43" s="19"/>
      <c r="C43" s="19"/>
      <c r="D43" s="19"/>
      <c r="E43" s="19"/>
      <c r="F43" s="19"/>
      <c r="G43" s="19"/>
      <c r="H43" s="19" t="s">
        <v>196</v>
      </c>
    </row>
    <row r="44" spans="1:8" ht="15" customHeight="1" x14ac:dyDescent="0.25">
      <c r="A44" s="18" t="s">
        <v>45</v>
      </c>
      <c r="B44" s="19"/>
      <c r="C44" s="19"/>
      <c r="D44" s="19"/>
      <c r="E44" s="19"/>
      <c r="F44" s="19"/>
      <c r="G44" s="19"/>
      <c r="H44" s="19"/>
    </row>
    <row r="45" spans="1:8" ht="15" customHeight="1" x14ac:dyDescent="0.25">
      <c r="A45" s="18" t="s">
        <v>52</v>
      </c>
      <c r="B45" s="19"/>
      <c r="C45" s="19"/>
      <c r="D45" s="19"/>
      <c r="E45" s="19" t="s">
        <v>676</v>
      </c>
      <c r="F45" s="19"/>
      <c r="G45" s="19"/>
      <c r="H45" s="19"/>
    </row>
    <row r="46" spans="1:8" ht="15" customHeight="1" x14ac:dyDescent="0.25">
      <c r="A46" s="58"/>
      <c r="B46" s="4"/>
      <c r="C46" s="4"/>
      <c r="D46" s="4"/>
      <c r="E46" s="4"/>
      <c r="F46" s="4"/>
      <c r="G46" s="4"/>
      <c r="H46" s="4"/>
    </row>
    <row r="47" spans="1:8" ht="15" customHeight="1" x14ac:dyDescent="0.25">
      <c r="A47" s="17" t="s">
        <v>53</v>
      </c>
      <c r="B47" s="20">
        <v>1.0940000000000001</v>
      </c>
      <c r="C47" s="20">
        <v>1.0900000000000001</v>
      </c>
      <c r="D47" s="20">
        <v>1.048</v>
      </c>
      <c r="E47" s="9">
        <v>1.1160000000000001</v>
      </c>
      <c r="F47" s="9">
        <v>1.0529999999999999</v>
      </c>
      <c r="G47" s="9">
        <v>1.0860000000000001</v>
      </c>
      <c r="H47" s="9">
        <v>1.0880000000000001</v>
      </c>
    </row>
    <row r="48" spans="1:8" ht="15" customHeight="1" x14ac:dyDescent="0.25">
      <c r="A48" s="17" t="s">
        <v>55</v>
      </c>
      <c r="B48" s="25">
        <v>1.0289999999999999</v>
      </c>
      <c r="C48" s="25">
        <v>1.032</v>
      </c>
      <c r="D48" s="25">
        <v>1.01</v>
      </c>
      <c r="E48" s="24">
        <v>1.032</v>
      </c>
      <c r="F48" s="24" t="s">
        <v>106</v>
      </c>
      <c r="G48" s="24">
        <v>1.022</v>
      </c>
      <c r="H48" s="24">
        <v>1.024</v>
      </c>
    </row>
    <row r="49" spans="1:8" ht="15" customHeight="1" x14ac:dyDescent="0.25">
      <c r="A49" s="17" t="s">
        <v>57</v>
      </c>
      <c r="B49" s="25">
        <v>156</v>
      </c>
      <c r="C49" s="25">
        <v>154</v>
      </c>
      <c r="D49" s="25">
        <v>155</v>
      </c>
      <c r="E49" s="24" t="s">
        <v>146</v>
      </c>
      <c r="F49" s="24">
        <v>158</v>
      </c>
      <c r="G49" s="24" t="s">
        <v>444</v>
      </c>
      <c r="H49" s="24">
        <v>154</v>
      </c>
    </row>
    <row r="50" spans="1:8" ht="15" customHeight="1" x14ac:dyDescent="0.25">
      <c r="A50" s="17" t="s">
        <v>58</v>
      </c>
      <c r="B50" s="67">
        <v>1084</v>
      </c>
      <c r="C50" s="67">
        <v>1338</v>
      </c>
      <c r="D50" s="67" t="s">
        <v>199</v>
      </c>
      <c r="E50" s="68">
        <v>1056</v>
      </c>
      <c r="F50" s="68">
        <v>3763</v>
      </c>
      <c r="G50" s="68">
        <v>380</v>
      </c>
      <c r="H50" s="68">
        <v>1056</v>
      </c>
    </row>
    <row r="51" spans="1:8" ht="15" customHeight="1" x14ac:dyDescent="0.25">
      <c r="A51" s="4"/>
      <c r="B51" s="4"/>
      <c r="C51" s="4"/>
      <c r="D51" s="4"/>
      <c r="E51" s="4"/>
      <c r="F51" s="4"/>
      <c r="G51" s="4"/>
      <c r="H51" s="4"/>
    </row>
    <row r="52" spans="1:8" ht="180" customHeight="1" x14ac:dyDescent="0.25">
      <c r="A52" s="4"/>
      <c r="B52" s="4"/>
      <c r="C52" s="4"/>
      <c r="D52" s="4"/>
      <c r="E52" s="4"/>
      <c r="F52" s="4"/>
      <c r="G52" s="4"/>
      <c r="H52" s="23" t="s">
        <v>677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7.85546875" customWidth="1"/>
    <col min="2" max="2" width="11" customWidth="1"/>
    <col min="3" max="3" width="12.5703125" customWidth="1"/>
    <col min="4" max="4" width="10.7109375" customWidth="1"/>
    <col min="5" max="6" width="7.5703125" customWidth="1"/>
  </cols>
  <sheetData>
    <row r="1" spans="1:6" ht="23.25" customHeight="1" x14ac:dyDescent="0.35">
      <c r="A1" s="3" t="s">
        <v>631</v>
      </c>
      <c r="B1" s="4"/>
    </row>
    <row r="2" spans="1:6" ht="23.25" customHeight="1" x14ac:dyDescent="0.35">
      <c r="A2" s="3"/>
      <c r="B2" s="4"/>
    </row>
    <row r="3" spans="1:6" ht="23.25" customHeight="1" x14ac:dyDescent="0.25">
      <c r="A3" s="4"/>
      <c r="B3" s="53">
        <v>2010</v>
      </c>
      <c r="C3" s="52">
        <v>2015</v>
      </c>
      <c r="D3" s="52">
        <v>2016</v>
      </c>
    </row>
    <row r="4" spans="1:6" ht="15" customHeight="1" x14ac:dyDescent="0.25">
      <c r="A4" s="17" t="s">
        <v>14</v>
      </c>
      <c r="B4" s="54">
        <f>16/17.4375</f>
        <v>0.91756272401433692</v>
      </c>
      <c r="C4" s="54"/>
      <c r="D4" s="54">
        <f>8.8/16.22</f>
        <v>0.5425400739827374</v>
      </c>
      <c r="F4">
        <f>8.8+2.9+2.2+1.3+0.5+0.3+0.22</f>
        <v>16.220000000000002</v>
      </c>
    </row>
    <row r="5" spans="1:6" ht="15" customHeight="1" x14ac:dyDescent="0.25">
      <c r="A5" s="17" t="s">
        <v>17</v>
      </c>
      <c r="B5" s="54">
        <f>1/17.4375</f>
        <v>5.7347670250896057E-2</v>
      </c>
      <c r="C5" s="54"/>
      <c r="D5" s="54">
        <f>1.3/16.22</f>
        <v>8.0147965474722568E-2</v>
      </c>
    </row>
    <row r="6" spans="1:6" ht="15" customHeight="1" x14ac:dyDescent="0.25">
      <c r="A6" s="17" t="s">
        <v>118</v>
      </c>
      <c r="B6" s="54">
        <f>(5/16)/17.4375</f>
        <v>1.7921146953405017E-2</v>
      </c>
      <c r="C6" s="54"/>
      <c r="D6" s="54"/>
    </row>
    <row r="7" spans="1:6" ht="15" customHeight="1" x14ac:dyDescent="0.25">
      <c r="A7" s="17" t="s">
        <v>134</v>
      </c>
      <c r="B7" s="54">
        <f>0.125/17.4375</f>
        <v>7.1684587813620072E-3</v>
      </c>
      <c r="C7" s="54"/>
      <c r="D7" s="54">
        <f>0.5/16.33</f>
        <v>3.0618493570116354E-2</v>
      </c>
    </row>
    <row r="8" spans="1:6" ht="15" customHeight="1" x14ac:dyDescent="0.25">
      <c r="A8" s="48" t="s">
        <v>19</v>
      </c>
      <c r="B8" s="54"/>
      <c r="C8" s="56">
        <v>0.65800000000000003</v>
      </c>
      <c r="D8" s="56">
        <f>2.2/16.22</f>
        <v>0.13563501849568435</v>
      </c>
    </row>
    <row r="9" spans="1:6" ht="15" customHeight="1" x14ac:dyDescent="0.25">
      <c r="A9" s="48" t="s">
        <v>24</v>
      </c>
      <c r="B9" s="54"/>
      <c r="C9" s="56">
        <v>0.13200000000000001</v>
      </c>
      <c r="D9" s="56"/>
    </row>
    <row r="10" spans="1:6" ht="15" customHeight="1" x14ac:dyDescent="0.25">
      <c r="A10" s="48" t="s">
        <v>157</v>
      </c>
      <c r="B10" s="54"/>
      <c r="C10" s="56">
        <v>4.2000000000000003E-2</v>
      </c>
      <c r="D10" s="56"/>
    </row>
    <row r="11" spans="1:6" ht="15" customHeight="1" x14ac:dyDescent="0.25">
      <c r="A11" s="48" t="s">
        <v>123</v>
      </c>
      <c r="B11" s="54"/>
      <c r="C11" s="56">
        <v>4.2000000000000003E-2</v>
      </c>
      <c r="D11" s="56"/>
    </row>
    <row r="12" spans="1:6" ht="15" customHeight="1" x14ac:dyDescent="0.25">
      <c r="A12" s="48" t="s">
        <v>250</v>
      </c>
      <c r="B12" s="54"/>
      <c r="C12" s="56">
        <v>4.2000000000000003E-2</v>
      </c>
      <c r="D12" s="56"/>
    </row>
    <row r="13" spans="1:6" ht="15" customHeight="1" x14ac:dyDescent="0.25">
      <c r="A13" s="48" t="s">
        <v>192</v>
      </c>
      <c r="B13" s="54"/>
      <c r="C13" s="56">
        <v>4.2000000000000003E-2</v>
      </c>
      <c r="D13" s="56"/>
    </row>
    <row r="14" spans="1:6" ht="15" customHeight="1" x14ac:dyDescent="0.25">
      <c r="A14" s="48" t="s">
        <v>74</v>
      </c>
      <c r="B14" s="54"/>
      <c r="C14" s="56">
        <v>2.1000000000000001E-2</v>
      </c>
      <c r="D14" s="56"/>
    </row>
    <row r="15" spans="1:6" ht="15" customHeight="1" x14ac:dyDescent="0.25">
      <c r="A15" s="48" t="s">
        <v>38</v>
      </c>
      <c r="B15" s="54"/>
      <c r="C15" s="56">
        <v>2.1000000000000001E-2</v>
      </c>
      <c r="D15" s="56"/>
    </row>
    <row r="16" spans="1:6" ht="15" customHeight="1" x14ac:dyDescent="0.25">
      <c r="A16" s="48" t="s">
        <v>246</v>
      </c>
      <c r="B16" s="54"/>
      <c r="C16" s="56"/>
      <c r="D16" s="56">
        <f>2.9/16.22</f>
        <v>0.17879161528976573</v>
      </c>
    </row>
    <row r="17" spans="1:4" ht="15" customHeight="1" x14ac:dyDescent="0.25">
      <c r="A17" s="48" t="s">
        <v>666</v>
      </c>
      <c r="B17" s="54"/>
      <c r="C17" s="56"/>
      <c r="D17" s="56">
        <f>0.3/16.22</f>
        <v>1.8495684340320593E-2</v>
      </c>
    </row>
    <row r="18" spans="1:4" ht="15" customHeight="1" x14ac:dyDescent="0.25">
      <c r="A18" s="48" t="s">
        <v>667</v>
      </c>
      <c r="B18" s="54"/>
      <c r="C18" s="56"/>
      <c r="D18" s="56">
        <f>0.22/16.22</f>
        <v>1.3563501849568435E-2</v>
      </c>
    </row>
    <row r="19" spans="1:4" ht="15" customHeight="1" x14ac:dyDescent="0.25">
      <c r="A19" s="27"/>
      <c r="B19" s="58"/>
      <c r="C19" s="58"/>
      <c r="D19" s="58"/>
    </row>
    <row r="20" spans="1:4" ht="15" customHeight="1" x14ac:dyDescent="0.25">
      <c r="A20" s="17" t="s">
        <v>28</v>
      </c>
      <c r="B20" s="9" t="s">
        <v>374</v>
      </c>
      <c r="C20" s="9"/>
      <c r="D20" s="9"/>
    </row>
    <row r="21" spans="1:4" ht="15" customHeight="1" x14ac:dyDescent="0.25">
      <c r="A21" s="17" t="s">
        <v>96</v>
      </c>
      <c r="B21" s="19"/>
      <c r="C21" s="19"/>
      <c r="D21" s="19"/>
    </row>
    <row r="22" spans="1:4" ht="15" customHeight="1" x14ac:dyDescent="0.25">
      <c r="A22" s="18" t="s">
        <v>31</v>
      </c>
      <c r="B22" s="19" t="s">
        <v>303</v>
      </c>
      <c r="C22" s="22" t="s">
        <v>588</v>
      </c>
      <c r="D22" s="22" t="s">
        <v>142</v>
      </c>
    </row>
    <row r="23" spans="1:4" ht="15" customHeight="1" x14ac:dyDescent="0.25">
      <c r="A23" s="18" t="s">
        <v>39</v>
      </c>
      <c r="B23" s="19" t="s">
        <v>320</v>
      </c>
      <c r="C23" s="19"/>
      <c r="D23" s="19"/>
    </row>
    <row r="24" spans="1:4" ht="15" customHeight="1" x14ac:dyDescent="0.25">
      <c r="A24" s="18" t="s">
        <v>40</v>
      </c>
      <c r="B24" s="19" t="s">
        <v>303</v>
      </c>
      <c r="C24" s="19"/>
      <c r="D24" s="19"/>
    </row>
    <row r="25" spans="1:4" ht="15" customHeight="1" x14ac:dyDescent="0.25">
      <c r="A25" s="18" t="s">
        <v>85</v>
      </c>
      <c r="B25" s="4"/>
      <c r="C25" s="4"/>
      <c r="D25" s="4"/>
    </row>
    <row r="26" spans="1:4" ht="15" customHeight="1" x14ac:dyDescent="0.25">
      <c r="A26" s="18" t="s">
        <v>41</v>
      </c>
      <c r="B26" s="19" t="s">
        <v>138</v>
      </c>
      <c r="C26" s="19"/>
      <c r="D26" s="19"/>
    </row>
    <row r="27" spans="1:4" ht="30" customHeight="1" x14ac:dyDescent="0.25">
      <c r="A27" s="18" t="s">
        <v>43</v>
      </c>
      <c r="B27" s="19" t="s">
        <v>423</v>
      </c>
      <c r="C27" s="19"/>
      <c r="D27" s="19"/>
    </row>
    <row r="28" spans="1:4" ht="33" customHeight="1" x14ac:dyDescent="0.25">
      <c r="A28" s="18" t="s">
        <v>44</v>
      </c>
      <c r="B28" s="19" t="s">
        <v>138</v>
      </c>
      <c r="C28" s="19"/>
      <c r="D28" s="22" t="s">
        <v>195</v>
      </c>
    </row>
    <row r="29" spans="1:4" ht="15" customHeight="1" x14ac:dyDescent="0.25">
      <c r="A29" s="18" t="s">
        <v>45</v>
      </c>
      <c r="B29" s="19" t="s">
        <v>205</v>
      </c>
      <c r="C29" s="19"/>
      <c r="D29" s="19"/>
    </row>
    <row r="30" spans="1:4" ht="45" customHeight="1" x14ac:dyDescent="0.25">
      <c r="A30" s="18" t="s">
        <v>52</v>
      </c>
      <c r="B30" s="19" t="s">
        <v>669</v>
      </c>
      <c r="C30" s="19"/>
      <c r="D30" s="19"/>
    </row>
    <row r="31" spans="1:4" ht="15" customHeight="1" x14ac:dyDescent="0.25">
      <c r="A31" s="58"/>
      <c r="B31" s="4"/>
      <c r="C31" s="4"/>
      <c r="D31" s="4"/>
    </row>
    <row r="32" spans="1:4" ht="15" customHeight="1" x14ac:dyDescent="0.25">
      <c r="A32" s="17" t="s">
        <v>53</v>
      </c>
      <c r="B32" s="9">
        <v>1.07</v>
      </c>
      <c r="C32" s="20">
        <v>1.101</v>
      </c>
      <c r="D32" s="20">
        <v>1.0569999999999999</v>
      </c>
    </row>
    <row r="33" spans="1:4" ht="15" customHeight="1" x14ac:dyDescent="0.25">
      <c r="A33" s="17" t="s">
        <v>55</v>
      </c>
      <c r="B33" s="24">
        <v>1.014</v>
      </c>
      <c r="C33" s="25">
        <v>1.0149999999999999</v>
      </c>
      <c r="D33" s="25">
        <v>1.0129999999999999</v>
      </c>
    </row>
    <row r="34" spans="1:4" ht="15" customHeight="1" x14ac:dyDescent="0.25">
      <c r="A34" s="17" t="s">
        <v>57</v>
      </c>
      <c r="B34" s="24">
        <v>150</v>
      </c>
      <c r="C34" s="25">
        <v>153</v>
      </c>
      <c r="D34" s="25">
        <v>152</v>
      </c>
    </row>
    <row r="35" spans="1:4" ht="15" customHeight="1" x14ac:dyDescent="0.25">
      <c r="A35" s="17" t="s">
        <v>58</v>
      </c>
      <c r="B35" s="68" t="s">
        <v>348</v>
      </c>
      <c r="C35" s="67">
        <v>500</v>
      </c>
      <c r="D35" s="67">
        <v>1028</v>
      </c>
    </row>
    <row r="36" spans="1:4" ht="15" customHeight="1" x14ac:dyDescent="0.25">
      <c r="A36" s="4"/>
      <c r="B36" s="4"/>
    </row>
    <row r="37" spans="1:4" ht="90" customHeight="1" x14ac:dyDescent="0.25">
      <c r="A37" s="4"/>
      <c r="B37" s="23" t="s">
        <v>672</v>
      </c>
      <c r="C37" s="76" t="s">
        <v>673</v>
      </c>
      <c r="D37" s="76" t="s">
        <v>674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7.5703125" customWidth="1"/>
    <col min="2" max="5" width="15.42578125" customWidth="1"/>
    <col min="6" max="6" width="10.85546875" customWidth="1"/>
    <col min="7" max="7" width="11.7109375" customWidth="1"/>
    <col min="8" max="8" width="11.42578125" customWidth="1"/>
    <col min="9" max="9" width="12.140625" customWidth="1"/>
    <col min="10" max="10" width="10" customWidth="1"/>
    <col min="11" max="11" width="10.5703125" customWidth="1"/>
    <col min="12" max="12" width="12.42578125" customWidth="1"/>
    <col min="13" max="13" width="10.7109375" customWidth="1"/>
    <col min="14" max="14" width="9.85546875" customWidth="1"/>
    <col min="15" max="15" width="14.140625" customWidth="1"/>
    <col min="16" max="16" width="9" customWidth="1"/>
    <col min="17" max="17" width="9.42578125" customWidth="1"/>
    <col min="18" max="18" width="9.85546875" customWidth="1"/>
  </cols>
  <sheetData>
    <row r="1" spans="1:18" ht="23.25" customHeight="1" x14ac:dyDescent="0.35">
      <c r="A1" s="3" t="s">
        <v>671</v>
      </c>
      <c r="B1" s="3"/>
      <c r="C1" s="3"/>
      <c r="D1" s="3"/>
      <c r="E1" s="3"/>
      <c r="F1" s="4"/>
      <c r="G1" s="4"/>
      <c r="H1" s="4"/>
      <c r="I1" s="4"/>
      <c r="K1" s="4"/>
      <c r="L1" s="4"/>
      <c r="O1" s="4"/>
    </row>
    <row r="2" spans="1:18" ht="23.25" customHeight="1" x14ac:dyDescent="0.35">
      <c r="A2" s="3"/>
      <c r="B2" s="3"/>
      <c r="C2" s="3"/>
      <c r="D2" s="3"/>
      <c r="E2" s="3"/>
      <c r="F2" s="4"/>
      <c r="G2" s="4"/>
      <c r="H2" s="4"/>
      <c r="I2" s="4"/>
      <c r="K2" s="4"/>
      <c r="L2" s="4"/>
      <c r="O2" s="4"/>
    </row>
    <row r="3" spans="1:18" ht="23.25" customHeight="1" x14ac:dyDescent="0.25">
      <c r="A3" s="4"/>
      <c r="B3" s="52">
        <v>2000</v>
      </c>
      <c r="C3" s="52">
        <v>2001</v>
      </c>
      <c r="D3" s="52">
        <v>2002</v>
      </c>
      <c r="E3" s="52">
        <v>2003</v>
      </c>
      <c r="F3" s="53">
        <v>2004</v>
      </c>
      <c r="G3" s="53">
        <v>2005</v>
      </c>
      <c r="H3" s="53">
        <v>2006</v>
      </c>
      <c r="I3" s="53">
        <v>2007</v>
      </c>
      <c r="J3" s="53">
        <v>2008</v>
      </c>
      <c r="K3" s="53">
        <v>2009</v>
      </c>
      <c r="L3" s="53">
        <v>2010</v>
      </c>
      <c r="M3" s="53">
        <v>2011</v>
      </c>
      <c r="N3" s="53">
        <v>2012</v>
      </c>
      <c r="O3" s="53">
        <v>2013</v>
      </c>
      <c r="P3" s="53">
        <v>2014</v>
      </c>
      <c r="Q3" s="52">
        <v>2015</v>
      </c>
      <c r="R3" s="52">
        <v>2016</v>
      </c>
    </row>
    <row r="4" spans="1:18" ht="15" customHeight="1" x14ac:dyDescent="0.25">
      <c r="A4" s="17" t="s">
        <v>14</v>
      </c>
      <c r="B4" s="54">
        <f>19/25</f>
        <v>0.76</v>
      </c>
      <c r="C4" s="54"/>
      <c r="D4" s="54"/>
      <c r="E4" s="54"/>
      <c r="F4" s="54"/>
      <c r="G4" s="54"/>
      <c r="H4" s="54">
        <f>10/11.75</f>
        <v>0.85106382978723405</v>
      </c>
      <c r="I4" s="54"/>
      <c r="J4" s="54"/>
      <c r="K4" s="54"/>
      <c r="L4" s="54">
        <f>10/11.5</f>
        <v>0.86956521739130432</v>
      </c>
      <c r="M4" s="54"/>
      <c r="N4" s="54"/>
      <c r="O4" s="54"/>
      <c r="P4" s="54"/>
      <c r="Q4" s="56">
        <v>0.42899999999999999</v>
      </c>
      <c r="R4" s="56"/>
    </row>
    <row r="5" spans="1:18" ht="15" customHeight="1" x14ac:dyDescent="0.25">
      <c r="A5" s="17" t="s">
        <v>38</v>
      </c>
      <c r="B5" s="54"/>
      <c r="C5" s="54">
        <f>5/10</f>
        <v>0.5</v>
      </c>
      <c r="D5" s="54">
        <f>10/25</f>
        <v>0.4</v>
      </c>
      <c r="E5" s="54"/>
      <c r="F5" s="54"/>
      <c r="G5" s="54"/>
      <c r="H5" s="54">
        <f>0.5/11.75</f>
        <v>4.2553191489361701E-2</v>
      </c>
      <c r="I5" s="54"/>
      <c r="J5" s="54"/>
      <c r="K5" s="54">
        <f>2/37</f>
        <v>5.4054054054054057E-2</v>
      </c>
      <c r="L5" s="54"/>
      <c r="M5" s="54"/>
      <c r="N5" s="54"/>
      <c r="O5" s="54"/>
      <c r="P5" s="54"/>
      <c r="Q5" s="54"/>
      <c r="R5" s="54">
        <f>10/21</f>
        <v>0.47619047619047616</v>
      </c>
    </row>
    <row r="6" spans="1:18" ht="15" customHeight="1" x14ac:dyDescent="0.25">
      <c r="A6" s="17" t="s">
        <v>246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>
        <f>0.5/44</f>
        <v>1.1363636363636364E-2</v>
      </c>
      <c r="N6" s="54"/>
      <c r="O6" s="54"/>
      <c r="P6" s="54"/>
      <c r="Q6" s="54"/>
      <c r="R6" s="54"/>
    </row>
    <row r="7" spans="1:18" ht="15" customHeight="1" x14ac:dyDescent="0.25">
      <c r="A7" s="17" t="s">
        <v>19</v>
      </c>
      <c r="B7" s="54"/>
      <c r="C7" s="54"/>
      <c r="D7" s="54"/>
      <c r="E7" s="54"/>
      <c r="F7" s="54"/>
      <c r="G7" s="54"/>
      <c r="H7" s="54"/>
      <c r="I7" s="54">
        <f>10.25/22.75</f>
        <v>0.45054945054945056</v>
      </c>
      <c r="J7" s="54"/>
      <c r="K7" s="54"/>
      <c r="L7" s="54"/>
      <c r="M7" s="54"/>
      <c r="N7" s="54"/>
      <c r="O7" s="54"/>
      <c r="P7" s="54"/>
      <c r="Q7" s="54"/>
      <c r="R7" s="54">
        <f>10/21</f>
        <v>0.47619047619047616</v>
      </c>
    </row>
    <row r="8" spans="1:18" ht="15" customHeight="1" x14ac:dyDescent="0.25">
      <c r="A8" s="17" t="s">
        <v>112</v>
      </c>
      <c r="B8" s="54"/>
      <c r="C8" s="54"/>
      <c r="D8" s="54">
        <f t="shared" ref="D8:D9" si="0">4/25</f>
        <v>0.16</v>
      </c>
      <c r="E8" s="54">
        <f>40/56.5</f>
        <v>0.70796460176991149</v>
      </c>
      <c r="F8" s="54"/>
      <c r="G8" s="54">
        <f>28/38.5</f>
        <v>0.72727272727272729</v>
      </c>
      <c r="H8" s="54"/>
      <c r="I8" s="54"/>
      <c r="J8" s="54"/>
      <c r="K8" s="54">
        <f>27.5/37</f>
        <v>0.7432432432432432</v>
      </c>
      <c r="L8" s="54"/>
      <c r="M8" s="54"/>
      <c r="N8" s="54"/>
      <c r="O8" s="54"/>
      <c r="P8" s="54"/>
      <c r="Q8" s="54"/>
      <c r="R8" s="54"/>
    </row>
    <row r="9" spans="1:18" ht="15" customHeight="1" x14ac:dyDescent="0.25">
      <c r="A9" s="17" t="s">
        <v>24</v>
      </c>
      <c r="B9" s="54">
        <f>2/25</f>
        <v>0.08</v>
      </c>
      <c r="C9" s="54"/>
      <c r="D9" s="54">
        <f t="shared" si="0"/>
        <v>0.16</v>
      </c>
      <c r="E9" s="54"/>
      <c r="F9" s="54"/>
      <c r="G9" s="54"/>
      <c r="H9" s="54"/>
      <c r="I9" s="54">
        <f>8/22.75</f>
        <v>0.35164835164835168</v>
      </c>
      <c r="J9" s="54"/>
      <c r="K9" s="54"/>
      <c r="L9" s="54"/>
      <c r="M9" s="54"/>
      <c r="N9" s="54"/>
      <c r="O9" s="54"/>
      <c r="P9" s="54"/>
      <c r="Q9" s="56">
        <v>0.114</v>
      </c>
      <c r="R9" s="56"/>
    </row>
    <row r="10" spans="1:18" ht="15" customHeight="1" x14ac:dyDescent="0.25">
      <c r="A10" s="17" t="s">
        <v>269</v>
      </c>
      <c r="B10" s="54"/>
      <c r="C10" s="54"/>
      <c r="D10" s="54"/>
      <c r="E10" s="54"/>
      <c r="F10" s="54"/>
      <c r="G10" s="54"/>
      <c r="H10" s="54"/>
      <c r="I10" s="54"/>
      <c r="J10" s="54"/>
      <c r="K10" s="54">
        <f>1/37</f>
        <v>2.7027027027027029E-2</v>
      </c>
      <c r="L10" s="54"/>
      <c r="M10" s="54"/>
      <c r="N10" s="54">
        <f>(18/16)/27.6875</f>
        <v>4.0632054176072234E-2</v>
      </c>
      <c r="O10" s="54"/>
      <c r="P10" s="54"/>
      <c r="Q10" s="54"/>
      <c r="R10" s="54"/>
    </row>
    <row r="11" spans="1:18" ht="15" customHeight="1" x14ac:dyDescent="0.25">
      <c r="A11" s="17" t="s">
        <v>17</v>
      </c>
      <c r="B11" s="54"/>
      <c r="C11" s="54"/>
      <c r="D11" s="54"/>
      <c r="E11" s="54">
        <f>2/56.5</f>
        <v>3.5398230088495575E-2</v>
      </c>
      <c r="F11" s="54"/>
      <c r="G11" s="54">
        <f>1.5/38.5</f>
        <v>3.896103896103896E-2</v>
      </c>
      <c r="H11" s="54"/>
      <c r="I11" s="54"/>
      <c r="J11" s="54"/>
      <c r="K11" s="54">
        <f>3/37</f>
        <v>8.1081081081081086E-2</v>
      </c>
      <c r="L11" s="54"/>
      <c r="M11" s="54"/>
      <c r="N11" s="54"/>
      <c r="O11" s="54"/>
      <c r="P11" s="54"/>
      <c r="Q11" s="56">
        <v>5.7000000000000002E-2</v>
      </c>
      <c r="R11" s="56"/>
    </row>
    <row r="12" spans="1:18" ht="15" customHeight="1" x14ac:dyDescent="0.25">
      <c r="A12" s="17" t="s">
        <v>271</v>
      </c>
      <c r="B12" s="54"/>
      <c r="C12" s="54"/>
      <c r="D12" s="54"/>
      <c r="E12" s="54"/>
      <c r="F12" s="54">
        <f>0.5/11</f>
        <v>4.5454545454545456E-2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1:18" ht="15" customHeight="1" x14ac:dyDescent="0.25">
      <c r="A13" s="17" t="s">
        <v>25</v>
      </c>
      <c r="B13" s="54"/>
      <c r="C13" s="54"/>
      <c r="D13" s="54"/>
      <c r="E13" s="54"/>
      <c r="F13" s="54"/>
      <c r="G13" s="54"/>
      <c r="H13" s="54"/>
      <c r="I13" s="54"/>
      <c r="J13" s="54">
        <f>3/17.75</f>
        <v>0.16901408450704225</v>
      </c>
      <c r="K13" s="54"/>
      <c r="L13" s="54"/>
      <c r="M13" s="54"/>
      <c r="N13" s="54"/>
      <c r="O13" s="54"/>
      <c r="P13" s="54"/>
      <c r="Q13" s="54"/>
      <c r="R13" s="54"/>
    </row>
    <row r="14" spans="1:18" ht="15" customHeight="1" x14ac:dyDescent="0.25">
      <c r="A14" s="17" t="s">
        <v>82</v>
      </c>
      <c r="B14" s="54"/>
      <c r="C14" s="54"/>
      <c r="D14" s="54"/>
      <c r="E14" s="54"/>
      <c r="F14" s="54"/>
      <c r="G14" s="54"/>
      <c r="H14" s="54"/>
      <c r="I14" s="54"/>
      <c r="J14" s="54">
        <f>1/17.75</f>
        <v>5.6338028169014086E-2</v>
      </c>
      <c r="K14" s="54"/>
      <c r="L14" s="54"/>
      <c r="M14" s="54"/>
      <c r="N14" s="54"/>
      <c r="O14" s="54"/>
      <c r="P14" s="54"/>
      <c r="Q14" s="54"/>
      <c r="R14" s="54"/>
    </row>
    <row r="15" spans="1:18" ht="15" customHeight="1" x14ac:dyDescent="0.25">
      <c r="A15" s="17" t="s">
        <v>365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>
        <f>1/44</f>
        <v>2.2727272727272728E-2</v>
      </c>
      <c r="N15" s="54"/>
      <c r="O15" s="54"/>
      <c r="P15" s="54">
        <f>3/41.62</f>
        <v>7.2080730418068242E-2</v>
      </c>
      <c r="Q15" s="54"/>
      <c r="R15" s="54"/>
    </row>
    <row r="16" spans="1:18" ht="15" customHeight="1" x14ac:dyDescent="0.25">
      <c r="A16" s="17" t="s">
        <v>122</v>
      </c>
      <c r="B16" s="54"/>
      <c r="C16" s="54"/>
      <c r="D16" s="54"/>
      <c r="E16" s="54"/>
      <c r="F16" s="54"/>
      <c r="G16" s="54"/>
      <c r="H16" s="54"/>
      <c r="I16" s="54"/>
      <c r="J16" s="54">
        <f>1/17.75</f>
        <v>5.6338028169014086E-2</v>
      </c>
      <c r="K16" s="54"/>
      <c r="L16" s="54"/>
      <c r="M16" s="54"/>
      <c r="N16" s="54"/>
      <c r="O16" s="54"/>
      <c r="P16" s="54"/>
      <c r="Q16" s="54"/>
      <c r="R16" s="54"/>
    </row>
    <row r="17" spans="1:18" ht="15" customHeight="1" x14ac:dyDescent="0.25">
      <c r="A17" s="17" t="s">
        <v>293</v>
      </c>
      <c r="B17" s="54"/>
      <c r="C17" s="54"/>
      <c r="D17" s="54"/>
      <c r="E17" s="54"/>
      <c r="F17" s="54"/>
      <c r="G17" s="54">
        <f>3/38.5</f>
        <v>7.792207792207792E-2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spans="1:18" ht="15" customHeight="1" x14ac:dyDescent="0.25">
      <c r="A18" s="17" t="s">
        <v>295</v>
      </c>
      <c r="B18" s="54"/>
      <c r="C18" s="54"/>
      <c r="D18" s="54"/>
      <c r="E18" s="54"/>
      <c r="F18" s="54"/>
      <c r="G18" s="54"/>
      <c r="H18" s="54"/>
      <c r="I18" s="54"/>
      <c r="J18" s="54">
        <f>1/17.75</f>
        <v>5.6338028169014086E-2</v>
      </c>
      <c r="K18" s="54"/>
      <c r="L18" s="54"/>
      <c r="M18" s="54"/>
      <c r="N18" s="54"/>
      <c r="O18" s="54"/>
      <c r="P18" s="54"/>
      <c r="Q18" s="54"/>
      <c r="R18" s="54"/>
    </row>
    <row r="19" spans="1:18" ht="15" customHeight="1" x14ac:dyDescent="0.25">
      <c r="A19" s="17" t="s">
        <v>154</v>
      </c>
      <c r="B19" s="54"/>
      <c r="C19" s="54"/>
      <c r="D19" s="54"/>
      <c r="E19" s="54"/>
      <c r="F19" s="54">
        <f>1/11</f>
        <v>9.0909090909090912E-2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spans="1:18" ht="15" customHeight="1" x14ac:dyDescent="0.25">
      <c r="A20" s="17" t="s">
        <v>250</v>
      </c>
      <c r="B20" s="54"/>
      <c r="C20" s="54"/>
      <c r="D20" s="54"/>
      <c r="E20" s="54"/>
      <c r="F20" s="54"/>
      <c r="G20" s="54">
        <f t="shared" ref="G20:G21" si="1">0.5/38.5</f>
        <v>1.2987012987012988E-2</v>
      </c>
      <c r="H20" s="54"/>
      <c r="I20" s="54"/>
      <c r="J20" s="54">
        <f t="shared" ref="J20:J21" si="2">0.125/17.75</f>
        <v>7.0422535211267607E-3</v>
      </c>
      <c r="K20" s="54"/>
      <c r="L20" s="54"/>
      <c r="M20" s="54"/>
      <c r="N20" s="54"/>
      <c r="O20" s="54"/>
      <c r="P20" s="54"/>
      <c r="Q20" s="54"/>
      <c r="R20" s="54"/>
    </row>
    <row r="21" spans="1:18" ht="15" customHeight="1" x14ac:dyDescent="0.25">
      <c r="A21" s="17" t="s">
        <v>155</v>
      </c>
      <c r="B21" s="54"/>
      <c r="C21" s="54"/>
      <c r="D21" s="54"/>
      <c r="E21" s="54">
        <f>3/56.5</f>
        <v>5.3097345132743362E-2</v>
      </c>
      <c r="F21" s="54">
        <f>0.5/11</f>
        <v>4.5454545454545456E-2</v>
      </c>
      <c r="G21" s="54">
        <f t="shared" si="1"/>
        <v>1.2987012987012988E-2</v>
      </c>
      <c r="H21" s="54"/>
      <c r="I21" s="54"/>
      <c r="J21" s="54">
        <f t="shared" si="2"/>
        <v>7.0422535211267607E-3</v>
      </c>
      <c r="K21" s="54">
        <f>1/37</f>
        <v>2.7027027027027029E-2</v>
      </c>
      <c r="L21" s="54"/>
      <c r="M21" s="54"/>
      <c r="N21" s="54"/>
      <c r="O21" s="54"/>
      <c r="P21" s="54"/>
      <c r="Q21" s="54"/>
      <c r="R21" s="54"/>
    </row>
    <row r="22" spans="1:18" ht="15" customHeight="1" x14ac:dyDescent="0.25">
      <c r="A22" s="17" t="s">
        <v>366</v>
      </c>
      <c r="B22" s="54"/>
      <c r="C22" s="54"/>
      <c r="D22" s="54"/>
      <c r="E22" s="54"/>
      <c r="F22" s="54"/>
      <c r="G22" s="54">
        <f>3/38.5</f>
        <v>7.792207792207792E-2</v>
      </c>
      <c r="H22" s="54"/>
      <c r="I22" s="54">
        <f>4.5/22.75</f>
        <v>0.19780219780219779</v>
      </c>
      <c r="J22" s="54"/>
      <c r="K22" s="54"/>
      <c r="L22" s="54"/>
      <c r="M22" s="54"/>
      <c r="N22" s="54"/>
      <c r="O22" s="54"/>
      <c r="P22" s="54"/>
      <c r="Q22" s="54"/>
      <c r="R22" s="54"/>
    </row>
    <row r="23" spans="1:18" ht="15" customHeight="1" x14ac:dyDescent="0.25">
      <c r="A23" s="17" t="s">
        <v>214</v>
      </c>
      <c r="B23" s="54"/>
      <c r="C23" s="54"/>
      <c r="D23" s="54"/>
      <c r="E23" s="54"/>
      <c r="F23" s="54">
        <f>8/11</f>
        <v>0.72727272727272729</v>
      </c>
      <c r="G23" s="54"/>
      <c r="H23" s="54"/>
      <c r="I23" s="54"/>
      <c r="J23" s="54">
        <f>10/17.75</f>
        <v>0.56338028169014087</v>
      </c>
      <c r="K23" s="54"/>
      <c r="L23" s="54"/>
      <c r="M23" s="54">
        <f>40/44</f>
        <v>0.90909090909090906</v>
      </c>
      <c r="N23" s="54">
        <f>21.5/27.6875</f>
        <v>0.7765237020316027</v>
      </c>
      <c r="O23" s="54"/>
      <c r="P23" s="54">
        <f>31/41.62</f>
        <v>0.74483421432003849</v>
      </c>
      <c r="Q23" s="56">
        <v>0.2</v>
      </c>
      <c r="R23" s="56"/>
    </row>
    <row r="24" spans="1:18" ht="15" customHeight="1" x14ac:dyDescent="0.25">
      <c r="A24" s="17" t="s">
        <v>327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>
        <f>1/44</f>
        <v>2.2727272727272728E-2</v>
      </c>
      <c r="N24" s="54"/>
      <c r="O24" s="54"/>
      <c r="P24" s="54"/>
      <c r="Q24" s="54"/>
      <c r="R24" s="54"/>
    </row>
    <row r="25" spans="1:18" ht="15" customHeight="1" x14ac:dyDescent="0.25">
      <c r="A25" s="17" t="s">
        <v>128</v>
      </c>
      <c r="B25" s="54">
        <f>1/25</f>
        <v>0.04</v>
      </c>
      <c r="C25" s="54"/>
      <c r="D25" s="54"/>
      <c r="E25" s="54"/>
      <c r="F25" s="54"/>
      <c r="G25" s="54"/>
      <c r="H25" s="54"/>
      <c r="I25" s="54"/>
      <c r="J25" s="54"/>
      <c r="K25" s="54">
        <f>2.5/37</f>
        <v>6.7567567567567571E-2</v>
      </c>
      <c r="L25" s="54"/>
      <c r="M25" s="54"/>
      <c r="N25" s="54"/>
      <c r="O25" s="54"/>
      <c r="P25" s="54"/>
      <c r="Q25" s="56">
        <v>5.7000000000000002E-2</v>
      </c>
      <c r="R25" s="56"/>
    </row>
    <row r="26" spans="1:18" ht="15" customHeight="1" x14ac:dyDescent="0.25">
      <c r="A26" s="17" t="s">
        <v>72</v>
      </c>
      <c r="B26" s="54"/>
      <c r="C26" s="54"/>
      <c r="D26" s="54"/>
      <c r="E26" s="54"/>
      <c r="F26" s="54"/>
      <c r="G26" s="54"/>
      <c r="H26" s="54"/>
      <c r="I26" s="54"/>
      <c r="J26" s="54">
        <f>1.5/17.75</f>
        <v>8.4507042253521125E-2</v>
      </c>
      <c r="K26" s="54"/>
      <c r="L26" s="54"/>
      <c r="M26" s="54"/>
      <c r="N26" s="54"/>
      <c r="O26" s="54"/>
      <c r="P26" s="54"/>
      <c r="Q26" s="54"/>
      <c r="R26" s="54"/>
    </row>
    <row r="27" spans="1:18" ht="15" customHeight="1" x14ac:dyDescent="0.25">
      <c r="A27" s="17" t="s">
        <v>175</v>
      </c>
      <c r="B27" s="54"/>
      <c r="C27" s="54"/>
      <c r="D27" s="54"/>
      <c r="E27" s="54"/>
      <c r="F27" s="54">
        <f>0.5/11</f>
        <v>4.5454545454545456E-2</v>
      </c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</row>
    <row r="28" spans="1:18" ht="15" customHeight="1" x14ac:dyDescent="0.25">
      <c r="A28" s="17" t="s">
        <v>318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>
        <f>1.5/11.5</f>
        <v>0.13043478260869565</v>
      </c>
      <c r="M28" s="54"/>
      <c r="N28" s="54"/>
      <c r="O28" s="4"/>
      <c r="P28" s="54"/>
      <c r="Q28" s="54"/>
      <c r="R28" s="54"/>
    </row>
    <row r="29" spans="1:18" ht="15" customHeight="1" x14ac:dyDescent="0.25">
      <c r="A29" s="17" t="s">
        <v>167</v>
      </c>
      <c r="B29" s="54">
        <f>1/25</f>
        <v>0.04</v>
      </c>
      <c r="C29" s="54"/>
      <c r="D29" s="54"/>
      <c r="E29" s="54">
        <f>1/56.5</f>
        <v>1.7699115044247787E-2</v>
      </c>
      <c r="F29" s="54">
        <f>0.5/11</f>
        <v>4.5454545454545456E-2</v>
      </c>
      <c r="G29" s="54">
        <f>2/38.5</f>
        <v>5.1948051948051951E-2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  <row r="30" spans="1:18" ht="15" customHeight="1" x14ac:dyDescent="0.25">
      <c r="A30" s="17" t="s">
        <v>134</v>
      </c>
      <c r="B30" s="54"/>
      <c r="C30" s="54"/>
      <c r="D30" s="54"/>
      <c r="E30" s="54"/>
      <c r="F30" s="54"/>
      <c r="G30" s="54"/>
      <c r="H30" s="54">
        <f>1.25/11.75</f>
        <v>0.10638297872340426</v>
      </c>
      <c r="I30" s="54"/>
      <c r="J30" s="54"/>
      <c r="K30" s="54"/>
      <c r="L30" s="54"/>
      <c r="M30" s="54"/>
      <c r="N30" s="54"/>
      <c r="O30" s="54"/>
      <c r="P30" s="54"/>
      <c r="Q30" s="54"/>
      <c r="R30" s="54"/>
    </row>
    <row r="31" spans="1:18" ht="15" customHeight="1" x14ac:dyDescent="0.25">
      <c r="A31" s="17" t="s">
        <v>678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>
        <f>1.5/44</f>
        <v>3.4090909090909088E-2</v>
      </c>
      <c r="N31" s="54"/>
      <c r="O31" s="54"/>
      <c r="P31" s="54"/>
      <c r="Q31" s="54"/>
      <c r="R31" s="54"/>
    </row>
    <row r="32" spans="1:18" ht="15" customHeight="1" x14ac:dyDescent="0.25">
      <c r="A32" s="17" t="s">
        <v>119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>
        <f>2.5/27.6875</f>
        <v>9.0293453724604969E-2</v>
      </c>
      <c r="O32" s="54"/>
      <c r="P32" s="54"/>
      <c r="Q32" s="54"/>
      <c r="R32" s="54"/>
    </row>
    <row r="33" spans="1:18" ht="15" customHeight="1" x14ac:dyDescent="0.25">
      <c r="A33" s="17" t="s">
        <v>316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>
        <f>(13/16)/27.6875</f>
        <v>2.9345372460496615E-2</v>
      </c>
      <c r="O33" s="54"/>
      <c r="P33" s="54"/>
      <c r="Q33" s="54"/>
      <c r="R33" s="54"/>
    </row>
    <row r="34" spans="1:18" ht="15" customHeight="1" x14ac:dyDescent="0.25">
      <c r="A34" s="17" t="s">
        <v>129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>
        <f>1.75/27.6875</f>
        <v>6.320541760722348E-2</v>
      </c>
      <c r="O34" s="54"/>
      <c r="P34" s="54"/>
      <c r="Q34" s="54"/>
      <c r="R34" s="54"/>
    </row>
    <row r="35" spans="1:18" ht="15" customHeight="1" x14ac:dyDescent="0.25">
      <c r="A35" s="17" t="s">
        <v>679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>
        <f>15/15.5</f>
        <v>0.967741935483871</v>
      </c>
      <c r="P35" s="54"/>
      <c r="Q35" s="54"/>
      <c r="R35" s="54"/>
    </row>
    <row r="36" spans="1:18" ht="15" customHeight="1" x14ac:dyDescent="0.25">
      <c r="A36" s="17" t="s">
        <v>92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>
        <f>0.5/15.5</f>
        <v>3.2258064516129031E-2</v>
      </c>
      <c r="P36" s="54"/>
      <c r="Q36" s="54"/>
      <c r="R36" s="54"/>
    </row>
    <row r="37" spans="1:18" ht="15" customHeight="1" x14ac:dyDescent="0.25">
      <c r="A37" s="17" t="s">
        <v>153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>
        <f>2/41.62</f>
        <v>4.8053820278712162E-2</v>
      </c>
      <c r="Q37" s="54"/>
      <c r="R37" s="54"/>
    </row>
    <row r="38" spans="1:18" ht="15" customHeight="1" x14ac:dyDescent="0.25">
      <c r="A38" s="17" t="s">
        <v>283</v>
      </c>
      <c r="B38" s="54"/>
      <c r="C38" s="54"/>
      <c r="D38" s="54"/>
      <c r="E38" s="54">
        <f>5.5/56.5</f>
        <v>9.7345132743362831E-2</v>
      </c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>
        <f>3.62/41.62</f>
        <v>8.6977414704469014E-2</v>
      </c>
      <c r="Q38" s="54"/>
      <c r="R38" s="54"/>
    </row>
    <row r="39" spans="1:18" ht="15" customHeight="1" x14ac:dyDescent="0.25">
      <c r="A39" s="17" t="s">
        <v>586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>
        <f>2/41.62</f>
        <v>4.8053820278712162E-2</v>
      </c>
      <c r="Q39" s="54"/>
      <c r="R39" s="54"/>
    </row>
    <row r="40" spans="1:18" ht="15" customHeight="1" x14ac:dyDescent="0.25">
      <c r="A40" s="48" t="s">
        <v>680</v>
      </c>
      <c r="B40" s="54">
        <f>2/25</f>
        <v>0.08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</row>
    <row r="41" spans="1:18" ht="15" customHeight="1" x14ac:dyDescent="0.25">
      <c r="A41" s="48" t="s">
        <v>16</v>
      </c>
      <c r="B41" s="54"/>
      <c r="C41" s="54">
        <f>4/10</f>
        <v>0.4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</row>
    <row r="42" spans="1:18" ht="15" customHeight="1" x14ac:dyDescent="0.25">
      <c r="A42" s="48" t="s">
        <v>204</v>
      </c>
      <c r="B42" s="54"/>
      <c r="C42" s="54">
        <f>1/10</f>
        <v>0.1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</row>
    <row r="43" spans="1:18" ht="15" customHeight="1" x14ac:dyDescent="0.25">
      <c r="A43" s="48" t="s">
        <v>157</v>
      </c>
      <c r="B43" s="54"/>
      <c r="C43" s="54"/>
      <c r="D43" s="54">
        <f>4/25</f>
        <v>0.16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6">
        <v>8.5999999999999993E-2</v>
      </c>
      <c r="R43" s="56"/>
    </row>
    <row r="44" spans="1:18" ht="15" customHeight="1" x14ac:dyDescent="0.25">
      <c r="A44" s="48" t="s">
        <v>471</v>
      </c>
      <c r="B44" s="54"/>
      <c r="C44" s="54"/>
      <c r="D44" s="54">
        <f>3/25</f>
        <v>0.12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18" ht="15" customHeight="1" x14ac:dyDescent="0.25">
      <c r="A45" s="48" t="s">
        <v>123</v>
      </c>
      <c r="B45" s="54"/>
      <c r="C45" s="54"/>
      <c r="D45" s="54"/>
      <c r="E45" s="54">
        <f>3/56.5</f>
        <v>5.3097345132743362E-2</v>
      </c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</row>
    <row r="46" spans="1:18" ht="15" customHeight="1" x14ac:dyDescent="0.25">
      <c r="A46" s="48" t="s">
        <v>292</v>
      </c>
      <c r="B46" s="54"/>
      <c r="C46" s="54"/>
      <c r="D46" s="54"/>
      <c r="E46" s="54">
        <f>2/56.5</f>
        <v>3.5398230088495575E-2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</row>
    <row r="47" spans="1:18" ht="15" customHeight="1" x14ac:dyDescent="0.25">
      <c r="A47" s="48" t="s">
        <v>32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6">
        <v>5.7000000000000002E-2</v>
      </c>
      <c r="R47" s="56"/>
    </row>
    <row r="48" spans="1:18" ht="15" customHeight="1" x14ac:dyDescent="0.25">
      <c r="A48" s="48" t="s">
        <v>681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>
        <f>1/21</f>
        <v>4.7619047619047616E-2</v>
      </c>
    </row>
    <row r="49" spans="1:18" ht="15" customHeight="1" x14ac:dyDescent="0.25">
      <c r="A49" s="2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1:18" ht="30" customHeight="1" x14ac:dyDescent="0.25">
      <c r="A50" s="17" t="s">
        <v>28</v>
      </c>
      <c r="B50" s="20" t="s">
        <v>206</v>
      </c>
      <c r="C50" s="9"/>
      <c r="D50" s="9"/>
      <c r="E50" s="9"/>
      <c r="F50" s="9"/>
      <c r="G50" s="9" t="s">
        <v>50</v>
      </c>
      <c r="H50" s="9"/>
      <c r="I50" s="9"/>
      <c r="J50" s="9"/>
      <c r="K50" s="19" t="s">
        <v>170</v>
      </c>
      <c r="L50" s="9"/>
      <c r="M50" s="9"/>
      <c r="N50" s="9"/>
      <c r="O50" s="9" t="s">
        <v>36</v>
      </c>
      <c r="P50" s="9"/>
      <c r="Q50" s="20" t="s">
        <v>223</v>
      </c>
      <c r="R50" s="20"/>
    </row>
    <row r="51" spans="1:18" ht="15" customHeight="1" x14ac:dyDescent="0.25">
      <c r="A51" s="17" t="s">
        <v>96</v>
      </c>
      <c r="B51" s="19"/>
      <c r="C51" s="19"/>
      <c r="D51" s="19"/>
      <c r="E51" s="19"/>
      <c r="F51" s="19"/>
      <c r="G51" s="19" t="s">
        <v>50</v>
      </c>
      <c r="H51" s="19" t="s">
        <v>138</v>
      </c>
      <c r="I51" s="19" t="s">
        <v>49</v>
      </c>
      <c r="J51" s="19"/>
      <c r="K51" s="19"/>
      <c r="L51" s="19"/>
      <c r="M51" s="19" t="s">
        <v>98</v>
      </c>
      <c r="N51" s="19"/>
      <c r="O51" s="9" t="s">
        <v>36</v>
      </c>
      <c r="P51" s="19"/>
      <c r="Q51" s="19"/>
      <c r="R51" s="19"/>
    </row>
    <row r="52" spans="1:18" ht="45" customHeight="1" x14ac:dyDescent="0.25">
      <c r="A52" s="18" t="s">
        <v>31</v>
      </c>
      <c r="B52" s="22" t="s">
        <v>158</v>
      </c>
      <c r="C52" s="19"/>
      <c r="D52" s="22" t="s">
        <v>158</v>
      </c>
      <c r="E52" s="22" t="s">
        <v>195</v>
      </c>
      <c r="F52" s="19" t="s">
        <v>682</v>
      </c>
      <c r="G52" s="19" t="s">
        <v>50</v>
      </c>
      <c r="H52" s="19"/>
      <c r="I52" s="19"/>
      <c r="J52" s="19" t="s">
        <v>320</v>
      </c>
      <c r="K52" s="19" t="s">
        <v>170</v>
      </c>
      <c r="L52" s="19" t="s">
        <v>196</v>
      </c>
      <c r="M52" s="19"/>
      <c r="N52" s="19" t="s">
        <v>319</v>
      </c>
      <c r="O52" s="19"/>
      <c r="P52" s="19" t="s">
        <v>98</v>
      </c>
      <c r="Q52" s="19"/>
      <c r="R52" s="19"/>
    </row>
    <row r="53" spans="1:18" ht="15" customHeight="1" x14ac:dyDescent="0.25">
      <c r="A53" s="18" t="s">
        <v>39</v>
      </c>
      <c r="B53" s="19"/>
      <c r="C53" s="22" t="s">
        <v>196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ht="30" customHeight="1" x14ac:dyDescent="0.25">
      <c r="A54" s="18" t="s">
        <v>40</v>
      </c>
      <c r="B54" s="22" t="s">
        <v>158</v>
      </c>
      <c r="C54" s="19"/>
      <c r="D54" s="19"/>
      <c r="E54" s="19"/>
      <c r="F54" s="19"/>
      <c r="G54" s="19" t="s">
        <v>683</v>
      </c>
      <c r="H54" s="19"/>
      <c r="I54" s="19"/>
      <c r="J54" s="19"/>
      <c r="K54" s="19"/>
      <c r="L54" s="19"/>
      <c r="M54" s="19" t="s">
        <v>195</v>
      </c>
      <c r="N54" s="19" t="s">
        <v>427</v>
      </c>
      <c r="O54" s="9" t="s">
        <v>36</v>
      </c>
      <c r="P54" s="19"/>
      <c r="Q54" s="19"/>
      <c r="R54" s="19"/>
    </row>
    <row r="55" spans="1:18" ht="15" customHeight="1" x14ac:dyDescent="0.25">
      <c r="A55" s="18" t="s">
        <v>85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ht="60" customHeight="1" x14ac:dyDescent="0.25">
      <c r="A56" s="18" t="s">
        <v>41</v>
      </c>
      <c r="B56" s="22" t="s">
        <v>206</v>
      </c>
      <c r="C56" s="19"/>
      <c r="D56" s="22" t="s">
        <v>36</v>
      </c>
      <c r="E56" s="22" t="s">
        <v>195</v>
      </c>
      <c r="F56" s="19"/>
      <c r="G56" s="19" t="s">
        <v>684</v>
      </c>
      <c r="H56" s="19"/>
      <c r="I56" s="19" t="s">
        <v>75</v>
      </c>
      <c r="J56" s="19"/>
      <c r="K56" s="19" t="s">
        <v>170</v>
      </c>
      <c r="L56" s="19" t="s">
        <v>196</v>
      </c>
      <c r="M56" s="19" t="s">
        <v>195</v>
      </c>
      <c r="N56" s="19" t="s">
        <v>427</v>
      </c>
      <c r="O56" s="9" t="s">
        <v>36</v>
      </c>
      <c r="P56" s="19"/>
      <c r="Q56" s="19"/>
      <c r="R56" s="19"/>
    </row>
    <row r="57" spans="1:18" ht="30" customHeight="1" x14ac:dyDescent="0.25">
      <c r="A57" s="18" t="s">
        <v>43</v>
      </c>
      <c r="B57" s="19"/>
      <c r="C57" s="19"/>
      <c r="D57" s="19"/>
      <c r="E57" s="19"/>
      <c r="F57" s="19"/>
      <c r="G57" s="19"/>
      <c r="H57" s="19"/>
      <c r="I57" s="19"/>
      <c r="J57" s="19" t="s">
        <v>205</v>
      </c>
      <c r="K57" s="19" t="s">
        <v>206</v>
      </c>
      <c r="L57" s="19"/>
      <c r="M57" s="19"/>
      <c r="N57" s="19"/>
      <c r="O57" s="19"/>
      <c r="P57" s="19"/>
      <c r="Q57" s="22" t="s">
        <v>685</v>
      </c>
      <c r="R57" s="22"/>
    </row>
    <row r="58" spans="1:18" ht="60" customHeight="1" x14ac:dyDescent="0.25">
      <c r="A58" s="18" t="s">
        <v>44</v>
      </c>
      <c r="B58" s="19"/>
      <c r="C58" s="19"/>
      <c r="D58" s="19"/>
      <c r="E58" s="19"/>
      <c r="F58" s="19"/>
      <c r="G58" s="19" t="s">
        <v>684</v>
      </c>
      <c r="H58" s="19"/>
      <c r="I58" s="19"/>
      <c r="J58" s="19" t="s">
        <v>320</v>
      </c>
      <c r="K58" s="19"/>
      <c r="L58" s="19"/>
      <c r="M58" s="19"/>
      <c r="N58" s="19" t="s">
        <v>427</v>
      </c>
      <c r="O58" s="19"/>
      <c r="P58" s="19"/>
      <c r="Q58" s="22" t="s">
        <v>685</v>
      </c>
      <c r="R58" s="22"/>
    </row>
    <row r="59" spans="1:18" ht="60" customHeight="1" x14ac:dyDescent="0.25">
      <c r="A59" s="18" t="s">
        <v>45</v>
      </c>
      <c r="B59" s="19"/>
      <c r="C59" s="22" t="s">
        <v>686</v>
      </c>
      <c r="D59" s="19"/>
      <c r="E59" s="19"/>
      <c r="F59" s="19"/>
      <c r="G59" s="19" t="s">
        <v>684</v>
      </c>
      <c r="H59" s="19"/>
      <c r="I59" s="19"/>
      <c r="J59" s="19" t="s">
        <v>205</v>
      </c>
      <c r="K59" s="19" t="s">
        <v>206</v>
      </c>
      <c r="L59" s="19"/>
      <c r="M59" s="19"/>
      <c r="N59" s="19" t="s">
        <v>427</v>
      </c>
      <c r="O59" s="19"/>
      <c r="P59" s="19"/>
      <c r="Q59" s="22"/>
      <c r="R59" s="22"/>
    </row>
    <row r="60" spans="1:18" ht="33" customHeight="1" x14ac:dyDescent="0.25">
      <c r="A60" s="18" t="s">
        <v>52</v>
      </c>
      <c r="B60" s="22" t="s">
        <v>687</v>
      </c>
      <c r="C60" s="19"/>
      <c r="D60" s="19"/>
      <c r="E60" s="19"/>
      <c r="F60" s="19"/>
      <c r="G60" s="19"/>
      <c r="H60" s="19"/>
      <c r="I60" s="19"/>
      <c r="J60" s="19"/>
      <c r="K60" s="19" t="s">
        <v>138</v>
      </c>
      <c r="L60" s="19"/>
      <c r="M60" s="19"/>
      <c r="N60" s="19" t="s">
        <v>206</v>
      </c>
      <c r="O60" s="19"/>
      <c r="P60" s="19"/>
      <c r="Q60" s="22" t="s">
        <v>685</v>
      </c>
      <c r="R60" s="22"/>
    </row>
    <row r="61" spans="1:18" ht="15" customHeight="1" x14ac:dyDescent="0.25">
      <c r="A61" s="58"/>
      <c r="B61" s="4"/>
      <c r="C61" s="4"/>
      <c r="D61" s="4"/>
      <c r="E61" s="4"/>
      <c r="F61" s="4"/>
      <c r="G61" s="4"/>
      <c r="H61" s="4"/>
      <c r="I61" s="4"/>
      <c r="K61" s="4"/>
      <c r="L61" s="4"/>
      <c r="O61" s="4"/>
    </row>
    <row r="62" spans="1:18" ht="15" customHeight="1" x14ac:dyDescent="0.25">
      <c r="A62" s="17" t="s">
        <v>53</v>
      </c>
      <c r="B62" s="20">
        <v>1.052</v>
      </c>
      <c r="C62" s="20">
        <v>1.05</v>
      </c>
      <c r="D62" s="20">
        <v>1.1000000000000001</v>
      </c>
      <c r="E62" s="20">
        <v>1.0780000000000001</v>
      </c>
      <c r="F62" s="9">
        <v>1.0620000000000001</v>
      </c>
      <c r="G62" s="9">
        <v>1.0920000000000001</v>
      </c>
      <c r="H62" s="9">
        <v>1.06</v>
      </c>
      <c r="I62" s="9">
        <v>1.0760000000000001</v>
      </c>
      <c r="J62" s="9">
        <v>1.07</v>
      </c>
      <c r="K62" s="9">
        <v>1.0740000000000001</v>
      </c>
      <c r="L62" s="9">
        <v>1.1040000000000001</v>
      </c>
      <c r="M62" s="9">
        <v>1.123</v>
      </c>
      <c r="N62" s="9">
        <v>1.0720000000000001</v>
      </c>
      <c r="O62" s="9">
        <v>1.036</v>
      </c>
      <c r="P62" s="9">
        <v>1.085</v>
      </c>
      <c r="Q62" s="20">
        <v>1.042</v>
      </c>
      <c r="R62" s="20">
        <v>1.05</v>
      </c>
    </row>
    <row r="63" spans="1:18" ht="15" customHeight="1" x14ac:dyDescent="0.25">
      <c r="A63" s="17" t="s">
        <v>55</v>
      </c>
      <c r="B63" s="25">
        <v>1.01</v>
      </c>
      <c r="C63" s="25">
        <v>1.014</v>
      </c>
      <c r="D63" s="25">
        <v>1.016</v>
      </c>
      <c r="E63" s="25" t="s">
        <v>106</v>
      </c>
      <c r="F63" s="24">
        <v>1.018</v>
      </c>
      <c r="G63" s="24">
        <v>1.022</v>
      </c>
      <c r="H63" s="24">
        <v>1.02</v>
      </c>
      <c r="I63" s="24" t="s">
        <v>106</v>
      </c>
      <c r="J63" s="24">
        <v>1.01</v>
      </c>
      <c r="K63" s="24">
        <v>1.018</v>
      </c>
      <c r="L63" s="24">
        <v>1.0249999999999999</v>
      </c>
      <c r="M63" s="24">
        <v>1.016</v>
      </c>
      <c r="N63" s="24">
        <v>1.0149999999999999</v>
      </c>
      <c r="O63" s="24">
        <v>1.008</v>
      </c>
      <c r="P63" s="24">
        <v>1.024</v>
      </c>
      <c r="Q63" s="25">
        <v>1.012</v>
      </c>
      <c r="R63" s="25">
        <v>1.004</v>
      </c>
    </row>
    <row r="64" spans="1:18" ht="15" customHeight="1" x14ac:dyDescent="0.25">
      <c r="A64" s="17" t="s">
        <v>57</v>
      </c>
      <c r="B64" s="25">
        <v>154</v>
      </c>
      <c r="C64" s="25" t="s">
        <v>688</v>
      </c>
      <c r="D64" s="25">
        <v>150</v>
      </c>
      <c r="E64" s="25">
        <v>154</v>
      </c>
      <c r="F64" s="24">
        <v>154</v>
      </c>
      <c r="G64" s="24">
        <v>155</v>
      </c>
      <c r="H64" s="24" t="s">
        <v>689</v>
      </c>
      <c r="I64" s="24">
        <v>156</v>
      </c>
      <c r="J64" s="24">
        <v>154</v>
      </c>
      <c r="K64" s="24">
        <v>154</v>
      </c>
      <c r="L64" s="24">
        <v>146</v>
      </c>
      <c r="M64" s="24">
        <v>154</v>
      </c>
      <c r="N64" s="24">
        <v>155</v>
      </c>
      <c r="O64" s="24" t="s">
        <v>690</v>
      </c>
      <c r="P64" s="24">
        <v>152</v>
      </c>
      <c r="Q64" s="25">
        <v>155</v>
      </c>
      <c r="R64" s="25">
        <v>154</v>
      </c>
    </row>
    <row r="65" spans="1:18" ht="30" customHeight="1" x14ac:dyDescent="0.25">
      <c r="A65" s="17" t="s">
        <v>58</v>
      </c>
      <c r="B65" s="67">
        <v>1318</v>
      </c>
      <c r="C65" s="67">
        <v>1056</v>
      </c>
      <c r="D65" s="67">
        <v>1056</v>
      </c>
      <c r="E65" s="67">
        <v>1028</v>
      </c>
      <c r="F65" s="68">
        <v>1318</v>
      </c>
      <c r="G65" s="68" t="s">
        <v>691</v>
      </c>
      <c r="H65" s="68" t="s">
        <v>251</v>
      </c>
      <c r="I65" s="68">
        <v>2206</v>
      </c>
      <c r="J65" s="68" t="s">
        <v>252</v>
      </c>
      <c r="K65" s="68" t="s">
        <v>199</v>
      </c>
      <c r="L65" s="68" t="s">
        <v>377</v>
      </c>
      <c r="M65" s="68" t="s">
        <v>692</v>
      </c>
      <c r="N65" s="68">
        <v>1056</v>
      </c>
      <c r="O65" s="68" t="s">
        <v>231</v>
      </c>
      <c r="P65" s="68">
        <v>1028</v>
      </c>
      <c r="Q65" s="67">
        <v>1056</v>
      </c>
      <c r="R65" s="67" t="s">
        <v>693</v>
      </c>
    </row>
    <row r="66" spans="1:18" ht="1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K66" s="4"/>
      <c r="L66" s="4"/>
      <c r="O66" s="4"/>
    </row>
    <row r="67" spans="1:18" ht="135" customHeight="1" x14ac:dyDescent="0.25">
      <c r="A67" s="4"/>
      <c r="B67" s="4"/>
      <c r="C67" s="50" t="s">
        <v>694</v>
      </c>
      <c r="D67" s="50" t="s">
        <v>695</v>
      </c>
      <c r="E67" s="50" t="s">
        <v>696</v>
      </c>
      <c r="F67" s="23" t="s">
        <v>697</v>
      </c>
      <c r="G67" s="23"/>
      <c r="H67" s="23" t="s">
        <v>698</v>
      </c>
      <c r="I67" s="23" t="s">
        <v>699</v>
      </c>
      <c r="J67" s="23" t="s">
        <v>700</v>
      </c>
      <c r="K67" s="23"/>
      <c r="L67" s="23" t="s">
        <v>701</v>
      </c>
      <c r="M67" s="23"/>
      <c r="N67" s="23"/>
      <c r="O67" s="23"/>
      <c r="P67" s="23" t="s">
        <v>702</v>
      </c>
      <c r="Q67" s="23"/>
      <c r="R67" s="50" t="s">
        <v>703</v>
      </c>
    </row>
    <row r="68" spans="1:18" ht="15" customHeight="1" x14ac:dyDescent="0.25">
      <c r="A68" s="4"/>
      <c r="B68" s="4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45" customHeight="1" x14ac:dyDescent="0.25">
      <c r="A69" s="4"/>
      <c r="B69" s="6" t="s">
        <v>704</v>
      </c>
      <c r="C69" s="50" t="s">
        <v>705</v>
      </c>
      <c r="D69" s="50" t="s">
        <v>706</v>
      </c>
      <c r="E69" s="50" t="s">
        <v>707</v>
      </c>
      <c r="F69" s="23" t="s">
        <v>708</v>
      </c>
      <c r="G69" s="23" t="s">
        <v>709</v>
      </c>
      <c r="H69" s="23" t="s">
        <v>710</v>
      </c>
      <c r="I69" s="23" t="s">
        <v>711</v>
      </c>
      <c r="J69" s="23" t="s">
        <v>712</v>
      </c>
      <c r="K69" s="23" t="s">
        <v>713</v>
      </c>
      <c r="L69" s="23" t="s">
        <v>714</v>
      </c>
      <c r="M69" s="23" t="s">
        <v>715</v>
      </c>
      <c r="N69" s="23" t="s">
        <v>716</v>
      </c>
      <c r="O69" s="23" t="s">
        <v>679</v>
      </c>
      <c r="P69" s="23" t="s">
        <v>717</v>
      </c>
      <c r="Q69" s="50" t="s">
        <v>718</v>
      </c>
      <c r="R69" s="50" t="s">
        <v>719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3" sqref="B13"/>
    </sheetView>
  </sheetViews>
  <sheetFormatPr defaultColWidth="15.140625" defaultRowHeight="15.75" customHeight="1" x14ac:dyDescent="0.25"/>
  <cols>
    <col min="1" max="1" width="14" customWidth="1"/>
    <col min="2" max="2" width="11.7109375" customWidth="1"/>
    <col min="3" max="3" width="12.28515625" customWidth="1"/>
    <col min="4" max="4" width="14" customWidth="1"/>
    <col min="5" max="5" width="9" customWidth="1"/>
    <col min="6" max="6" width="9.7109375" customWidth="1"/>
  </cols>
  <sheetData>
    <row r="1" spans="1:6" ht="23.25" customHeight="1" x14ac:dyDescent="0.35">
      <c r="A1" s="3" t="s">
        <v>97</v>
      </c>
      <c r="B1" s="4"/>
      <c r="C1" s="4"/>
      <c r="D1" s="4"/>
    </row>
    <row r="2" spans="1:6" ht="15" customHeight="1" x14ac:dyDescent="0.25">
      <c r="A2" s="4"/>
      <c r="B2" s="4"/>
      <c r="C2" s="4"/>
      <c r="D2" s="4"/>
    </row>
    <row r="3" spans="1:6" ht="23.25" customHeight="1" x14ac:dyDescent="0.35">
      <c r="A3" s="4"/>
      <c r="B3" s="7">
        <v>2008</v>
      </c>
      <c r="C3" s="28">
        <v>2010</v>
      </c>
      <c r="D3" s="7">
        <v>2011</v>
      </c>
      <c r="E3" s="7">
        <v>2012</v>
      </c>
      <c r="F3" s="5">
        <v>2016</v>
      </c>
    </row>
    <row r="4" spans="1:6" ht="15" customHeight="1" x14ac:dyDescent="0.25">
      <c r="A4" s="8" t="s">
        <v>19</v>
      </c>
      <c r="B4" s="10">
        <v>1</v>
      </c>
      <c r="C4" s="30">
        <f>6.75/7</f>
        <v>0.9642857142857143</v>
      </c>
      <c r="D4" s="10">
        <f>11/12</f>
        <v>0.91666666666666663</v>
      </c>
      <c r="E4" s="10">
        <f>10.2/10.7</f>
        <v>0.95327102803738317</v>
      </c>
      <c r="F4" s="10">
        <f>9/9.48</f>
        <v>0.94936708860759489</v>
      </c>
    </row>
    <row r="5" spans="1:6" ht="15" customHeight="1" x14ac:dyDescent="0.25">
      <c r="A5" s="8" t="s">
        <v>17</v>
      </c>
      <c r="B5" s="10"/>
      <c r="C5" s="30">
        <f>0.25/7</f>
        <v>3.5714285714285712E-2</v>
      </c>
      <c r="D5" s="10"/>
      <c r="E5" s="10"/>
      <c r="F5" s="10">
        <f>0.3/9.48</f>
        <v>3.164556962025316E-2</v>
      </c>
    </row>
    <row r="6" spans="1:6" ht="15" customHeight="1" x14ac:dyDescent="0.25">
      <c r="A6" s="8" t="s">
        <v>21</v>
      </c>
      <c r="B6" s="10"/>
      <c r="C6" s="30"/>
      <c r="D6" s="10">
        <f t="shared" ref="D6:D7" si="0">0.5/12</f>
        <v>4.1666666666666664E-2</v>
      </c>
      <c r="E6" s="10"/>
      <c r="F6" s="10"/>
    </row>
    <row r="7" spans="1:6" ht="15" customHeight="1" x14ac:dyDescent="0.25">
      <c r="A7" s="8" t="s">
        <v>104</v>
      </c>
      <c r="B7" s="10"/>
      <c r="C7" s="30"/>
      <c r="D7" s="10">
        <f t="shared" si="0"/>
        <v>4.1666666666666664E-2</v>
      </c>
      <c r="E7" s="10"/>
      <c r="F7" s="10"/>
    </row>
    <row r="8" spans="1:6" ht="15" customHeight="1" x14ac:dyDescent="0.25">
      <c r="A8" s="8" t="s">
        <v>14</v>
      </c>
      <c r="B8" s="10"/>
      <c r="C8" s="30"/>
      <c r="D8" s="10"/>
      <c r="E8" s="10">
        <f>0.5/10.7</f>
        <v>4.6728971962616828E-2</v>
      </c>
      <c r="F8" s="10"/>
    </row>
    <row r="9" spans="1:6" ht="15" customHeight="1" x14ac:dyDescent="0.25">
      <c r="A9" s="16" t="s">
        <v>74</v>
      </c>
      <c r="B9" s="10"/>
      <c r="C9" s="30"/>
      <c r="D9" s="10"/>
      <c r="E9" s="10"/>
      <c r="F9" s="10">
        <f>0.18/9.48</f>
        <v>1.8987341772151896E-2</v>
      </c>
    </row>
    <row r="10" spans="1:6" ht="15" customHeight="1" x14ac:dyDescent="0.25">
      <c r="A10" s="4"/>
      <c r="B10" s="4"/>
      <c r="C10" s="4"/>
      <c r="D10" s="4"/>
    </row>
    <row r="11" spans="1:6" ht="15" customHeight="1" x14ac:dyDescent="0.25">
      <c r="A11" s="17" t="s">
        <v>28</v>
      </c>
      <c r="B11" s="9"/>
      <c r="C11" s="31"/>
      <c r="D11" s="9"/>
      <c r="E11" s="9"/>
      <c r="F11" s="9"/>
    </row>
    <row r="12" spans="1:6" ht="45" customHeight="1" x14ac:dyDescent="0.25">
      <c r="A12" s="18" t="s">
        <v>31</v>
      </c>
      <c r="B12" s="19" t="s">
        <v>723</v>
      </c>
      <c r="C12" s="31" t="s">
        <v>95</v>
      </c>
      <c r="D12" s="9" t="s">
        <v>98</v>
      </c>
      <c r="E12" s="9" t="s">
        <v>98</v>
      </c>
      <c r="F12" s="20" t="s">
        <v>42</v>
      </c>
    </row>
    <row r="13" spans="1:6" ht="15" customHeight="1" x14ac:dyDescent="0.25">
      <c r="A13" s="18" t="s">
        <v>39</v>
      </c>
      <c r="B13" s="9"/>
      <c r="C13" s="32"/>
      <c r="D13" s="19"/>
      <c r="E13" s="19"/>
      <c r="F13" s="19"/>
    </row>
    <row r="14" spans="1:6" ht="15" customHeight="1" x14ac:dyDescent="0.25">
      <c r="A14" s="18" t="s">
        <v>40</v>
      </c>
      <c r="B14" s="9"/>
      <c r="C14" s="32" t="s">
        <v>95</v>
      </c>
      <c r="D14" s="19"/>
      <c r="E14" s="19"/>
      <c r="F14" s="19"/>
    </row>
    <row r="15" spans="1:6" ht="15" customHeight="1" x14ac:dyDescent="0.25">
      <c r="A15" s="18" t="s">
        <v>41</v>
      </c>
      <c r="B15" s="9"/>
      <c r="C15" s="32"/>
      <c r="D15" s="19" t="s">
        <v>42</v>
      </c>
      <c r="E15" s="19" t="s">
        <v>42</v>
      </c>
      <c r="F15" s="19"/>
    </row>
    <row r="16" spans="1:6" ht="15" customHeight="1" x14ac:dyDescent="0.25">
      <c r="A16" s="18" t="s">
        <v>43</v>
      </c>
      <c r="B16" s="9"/>
      <c r="C16" s="32" t="s">
        <v>95</v>
      </c>
      <c r="D16" s="19"/>
      <c r="E16" s="19"/>
      <c r="F16" s="22" t="s">
        <v>42</v>
      </c>
    </row>
    <row r="17" spans="1:6" ht="15" customHeight="1" x14ac:dyDescent="0.25">
      <c r="A17" s="18" t="s">
        <v>44</v>
      </c>
      <c r="B17" s="9"/>
      <c r="C17" s="32"/>
      <c r="D17" s="19" t="s">
        <v>42</v>
      </c>
      <c r="E17" s="19" t="s">
        <v>42</v>
      </c>
      <c r="F17" s="22" t="s">
        <v>42</v>
      </c>
    </row>
    <row r="18" spans="1:6" ht="15" customHeight="1" x14ac:dyDescent="0.25">
      <c r="A18" s="18" t="s">
        <v>45</v>
      </c>
      <c r="B18" s="9"/>
      <c r="C18" s="32" t="s">
        <v>95</v>
      </c>
      <c r="D18" s="19" t="s">
        <v>42</v>
      </c>
      <c r="E18" s="19" t="s">
        <v>42</v>
      </c>
      <c r="F18" s="22" t="s">
        <v>42</v>
      </c>
    </row>
    <row r="19" spans="1:6" ht="15" customHeight="1" x14ac:dyDescent="0.25">
      <c r="A19" s="18" t="s">
        <v>52</v>
      </c>
      <c r="B19" s="9"/>
      <c r="C19" s="32"/>
      <c r="D19" s="19"/>
      <c r="E19" s="19"/>
      <c r="F19" s="19"/>
    </row>
    <row r="20" spans="1:6" ht="15" customHeight="1" x14ac:dyDescent="0.25">
      <c r="A20" s="4"/>
      <c r="B20" s="4"/>
      <c r="C20" s="4"/>
      <c r="D20" s="4"/>
    </row>
    <row r="21" spans="1:6" ht="15" customHeight="1" x14ac:dyDescent="0.25">
      <c r="A21" s="17" t="s">
        <v>53</v>
      </c>
      <c r="B21" s="9">
        <v>1.04</v>
      </c>
      <c r="C21" s="31">
        <v>1.0580000000000001</v>
      </c>
      <c r="D21" s="9">
        <v>1.0549999999999999</v>
      </c>
      <c r="E21" s="9">
        <v>1.0469999999999999</v>
      </c>
      <c r="F21" s="20">
        <v>1.042</v>
      </c>
    </row>
    <row r="22" spans="1:6" ht="15" customHeight="1" x14ac:dyDescent="0.25">
      <c r="A22" s="17" t="s">
        <v>55</v>
      </c>
      <c r="B22" s="9">
        <v>1.01</v>
      </c>
      <c r="C22" s="31">
        <v>1.0169999999999999</v>
      </c>
      <c r="D22" s="9">
        <v>1.0129999999999999</v>
      </c>
      <c r="E22" s="9" t="s">
        <v>106</v>
      </c>
      <c r="F22" s="20">
        <v>1.0089999999999999</v>
      </c>
    </row>
    <row r="23" spans="1:6" ht="15" customHeight="1" x14ac:dyDescent="0.25">
      <c r="A23" s="17" t="s">
        <v>57</v>
      </c>
      <c r="B23" s="33">
        <v>150</v>
      </c>
      <c r="C23" s="31" t="s">
        <v>107</v>
      </c>
      <c r="D23" s="9">
        <v>155</v>
      </c>
      <c r="E23" s="9">
        <v>147</v>
      </c>
      <c r="F23" s="20">
        <v>152</v>
      </c>
    </row>
    <row r="24" spans="1:6" ht="15" customHeight="1" x14ac:dyDescent="0.25">
      <c r="A24" s="17" t="s">
        <v>58</v>
      </c>
      <c r="B24" s="9">
        <v>2124</v>
      </c>
      <c r="C24" s="34">
        <v>2001</v>
      </c>
      <c r="D24" s="24" t="s">
        <v>108</v>
      </c>
      <c r="E24" s="24">
        <v>830</v>
      </c>
      <c r="F24" s="25">
        <v>833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2" sqref="A2"/>
    </sheetView>
  </sheetViews>
  <sheetFormatPr defaultColWidth="15.140625" defaultRowHeight="15.75" customHeight="1" x14ac:dyDescent="0.25"/>
  <cols>
    <col min="1" max="1" width="12.42578125" customWidth="1"/>
    <col min="2" max="2" width="12.5703125" customWidth="1"/>
    <col min="3" max="3" width="11" customWidth="1"/>
    <col min="4" max="4" width="11.42578125" customWidth="1"/>
    <col min="5" max="5" width="11.5703125" customWidth="1"/>
    <col min="6" max="6" width="12.140625" customWidth="1"/>
    <col min="7" max="8" width="7.5703125" customWidth="1"/>
  </cols>
  <sheetData>
    <row r="1" spans="1:6" ht="23.25" customHeight="1" x14ac:dyDescent="0.35">
      <c r="A1" s="3" t="s">
        <v>105</v>
      </c>
      <c r="B1" s="4"/>
      <c r="C1" s="4"/>
      <c r="E1" s="4"/>
      <c r="F1" s="4"/>
    </row>
    <row r="2" spans="1:6" ht="15" customHeight="1" x14ac:dyDescent="0.25">
      <c r="A2" s="4"/>
      <c r="B2" s="4"/>
      <c r="C2" s="4"/>
      <c r="E2" s="4"/>
      <c r="F2" s="4"/>
    </row>
    <row r="3" spans="1:6" ht="23.25" customHeight="1" x14ac:dyDescent="0.35">
      <c r="A3" s="4"/>
      <c r="B3" s="5">
        <v>2000</v>
      </c>
      <c r="C3" s="7">
        <v>2005</v>
      </c>
      <c r="D3" s="28">
        <v>2007</v>
      </c>
      <c r="E3" s="7">
        <v>2009</v>
      </c>
      <c r="F3" s="7">
        <v>2014</v>
      </c>
    </row>
    <row r="4" spans="1:6" ht="15" customHeight="1" x14ac:dyDescent="0.25">
      <c r="A4" s="8" t="s">
        <v>19</v>
      </c>
      <c r="B4" s="10"/>
      <c r="C4" s="10">
        <f>12/16.5</f>
        <v>0.72727272727272729</v>
      </c>
      <c r="D4" s="30"/>
      <c r="E4" s="10">
        <f>9/10</f>
        <v>0.9</v>
      </c>
      <c r="F4" s="10">
        <f>9.5/26.375</f>
        <v>0.36018957345971564</v>
      </c>
    </row>
    <row r="5" spans="1:6" ht="15" customHeight="1" x14ac:dyDescent="0.25">
      <c r="A5" s="8" t="s">
        <v>16</v>
      </c>
      <c r="B5" s="10"/>
      <c r="C5" s="10">
        <f>2/16.5</f>
        <v>0.12121212121212122</v>
      </c>
      <c r="D5" s="30">
        <f>5/7</f>
        <v>0.7142857142857143</v>
      </c>
      <c r="E5" s="10"/>
      <c r="F5" s="10"/>
    </row>
    <row r="6" spans="1:6" ht="15" customHeight="1" x14ac:dyDescent="0.25">
      <c r="A6" s="8" t="s">
        <v>109</v>
      </c>
      <c r="B6" s="10">
        <f>2.2/10.95</f>
        <v>0.20091324200913244</v>
      </c>
      <c r="C6" s="10">
        <f>2.5/16.5</f>
        <v>0.15151515151515152</v>
      </c>
      <c r="D6" s="30">
        <f>2/7</f>
        <v>0.2857142857142857</v>
      </c>
      <c r="E6" s="10"/>
      <c r="F6" s="10">
        <f>7/26.375</f>
        <v>0.26540284360189575</v>
      </c>
    </row>
    <row r="7" spans="1:6" ht="15" customHeight="1" x14ac:dyDescent="0.25">
      <c r="A7" s="8" t="s">
        <v>21</v>
      </c>
      <c r="B7" s="10"/>
      <c r="C7" s="10"/>
      <c r="D7" s="30"/>
      <c r="E7" s="10">
        <f t="shared" ref="E7:E8" si="0">0.5/10</f>
        <v>0.05</v>
      </c>
      <c r="F7" s="10"/>
    </row>
    <row r="8" spans="1:6" ht="15" customHeight="1" x14ac:dyDescent="0.25">
      <c r="A8" s="8" t="s">
        <v>24</v>
      </c>
      <c r="B8" s="10"/>
      <c r="C8" s="10"/>
      <c r="D8" s="30"/>
      <c r="E8" s="10">
        <f t="shared" si="0"/>
        <v>0.05</v>
      </c>
      <c r="F8" s="10"/>
    </row>
    <row r="9" spans="1:6" ht="15" customHeight="1" x14ac:dyDescent="0.25">
      <c r="A9" s="8" t="s">
        <v>14</v>
      </c>
      <c r="B9" s="10"/>
      <c r="C9" s="10"/>
      <c r="D9" s="30"/>
      <c r="E9" s="10"/>
      <c r="F9" s="10">
        <f>9.5/26.375</f>
        <v>0.36018957345971564</v>
      </c>
    </row>
    <row r="10" spans="1:6" ht="15" customHeight="1" x14ac:dyDescent="0.25">
      <c r="A10" s="8" t="s">
        <v>111</v>
      </c>
      <c r="B10" s="10"/>
      <c r="C10" s="10"/>
      <c r="D10" s="30"/>
      <c r="E10" s="10"/>
      <c r="F10" s="10">
        <f>0.375/26.375</f>
        <v>1.4218009478672985E-2</v>
      </c>
    </row>
    <row r="11" spans="1:6" ht="15" customHeight="1" x14ac:dyDescent="0.25">
      <c r="A11" s="16" t="s">
        <v>112</v>
      </c>
      <c r="B11" s="10">
        <f>8/10.95</f>
        <v>0.73059360730593614</v>
      </c>
      <c r="C11" s="10"/>
      <c r="D11" s="30"/>
      <c r="E11" s="10"/>
      <c r="F11" s="10"/>
    </row>
    <row r="12" spans="1:6" ht="15" customHeight="1" x14ac:dyDescent="0.25">
      <c r="A12" s="16" t="s">
        <v>34</v>
      </c>
      <c r="B12" s="10">
        <f>75/10.95</f>
        <v>6.8493150684931514</v>
      </c>
      <c r="C12" s="10"/>
      <c r="D12" s="30"/>
      <c r="E12" s="10"/>
      <c r="F12" s="10"/>
    </row>
    <row r="13" spans="1:6" ht="15" customHeight="1" x14ac:dyDescent="0.25">
      <c r="A13" s="35"/>
      <c r="B13" s="13"/>
      <c r="C13" s="13"/>
      <c r="D13" s="13"/>
      <c r="E13" s="13"/>
      <c r="F13" s="13"/>
    </row>
    <row r="14" spans="1:6" ht="15" customHeight="1" x14ac:dyDescent="0.25">
      <c r="A14" s="4"/>
      <c r="B14" s="4"/>
      <c r="C14" s="4"/>
      <c r="E14" s="4"/>
      <c r="F14" s="4"/>
    </row>
    <row r="15" spans="1:6" ht="15" customHeight="1" x14ac:dyDescent="0.25">
      <c r="A15" s="17" t="s">
        <v>28</v>
      </c>
      <c r="B15" s="9"/>
      <c r="C15" s="9" t="s">
        <v>49</v>
      </c>
      <c r="D15" s="31"/>
      <c r="E15" s="9"/>
      <c r="F15" s="9"/>
    </row>
    <row r="16" spans="1:6" ht="15" customHeight="1" x14ac:dyDescent="0.25">
      <c r="A16" s="17" t="s">
        <v>113</v>
      </c>
      <c r="B16" s="83"/>
      <c r="C16" s="19" t="s">
        <v>50</v>
      </c>
      <c r="D16" s="80" t="s">
        <v>36</v>
      </c>
      <c r="E16" s="9"/>
      <c r="F16" s="9"/>
    </row>
    <row r="17" spans="1:8" ht="45" customHeight="1" x14ac:dyDescent="0.25">
      <c r="A17" s="81" t="s">
        <v>31</v>
      </c>
      <c r="B17" s="85" t="s">
        <v>114</v>
      </c>
      <c r="C17" s="4"/>
      <c r="D17" s="31"/>
      <c r="E17" s="9" t="s">
        <v>36</v>
      </c>
      <c r="F17" s="19" t="s">
        <v>115</v>
      </c>
    </row>
    <row r="18" spans="1:8" ht="15" customHeight="1" x14ac:dyDescent="0.25">
      <c r="A18" s="18" t="s">
        <v>39</v>
      </c>
      <c r="B18" s="84"/>
      <c r="C18" s="9"/>
      <c r="D18" s="32"/>
      <c r="E18" s="19"/>
      <c r="F18" s="19"/>
    </row>
    <row r="19" spans="1:8" ht="15" customHeight="1" x14ac:dyDescent="0.25">
      <c r="A19" s="18" t="s">
        <v>40</v>
      </c>
      <c r="B19" s="9"/>
      <c r="C19" s="9"/>
      <c r="D19" s="32"/>
      <c r="E19" s="19"/>
      <c r="F19" s="19"/>
      <c r="H19" s="4" t="s">
        <v>27</v>
      </c>
    </row>
    <row r="20" spans="1:8" ht="45" customHeight="1" x14ac:dyDescent="0.25">
      <c r="A20" s="18" t="s">
        <v>85</v>
      </c>
      <c r="B20" s="9"/>
      <c r="C20" s="9"/>
      <c r="D20" s="32"/>
      <c r="E20" s="19"/>
      <c r="F20" s="19" t="s">
        <v>115</v>
      </c>
    </row>
    <row r="21" spans="1:8" ht="15" customHeight="1" x14ac:dyDescent="0.25">
      <c r="A21" s="18" t="s">
        <v>41</v>
      </c>
      <c r="B21" s="9"/>
      <c r="C21" s="9" t="s">
        <v>49</v>
      </c>
      <c r="D21" s="32" t="s">
        <v>106</v>
      </c>
      <c r="E21" s="19"/>
      <c r="F21" s="19"/>
    </row>
    <row r="22" spans="1:8" ht="15" customHeight="1" x14ac:dyDescent="0.25">
      <c r="A22" s="18" t="s">
        <v>43</v>
      </c>
      <c r="B22" s="9"/>
      <c r="C22" s="9" t="s">
        <v>42</v>
      </c>
      <c r="D22" s="32"/>
      <c r="E22" s="19"/>
      <c r="F22" s="19" t="s">
        <v>36</v>
      </c>
    </row>
    <row r="23" spans="1:8" ht="45" customHeight="1" x14ac:dyDescent="0.25">
      <c r="A23" s="18" t="s">
        <v>44</v>
      </c>
      <c r="B23" s="9"/>
      <c r="C23" s="9"/>
      <c r="D23" s="32"/>
      <c r="E23" s="19"/>
      <c r="F23" s="19" t="s">
        <v>116</v>
      </c>
    </row>
    <row r="24" spans="1:8" ht="15" customHeight="1" x14ac:dyDescent="0.25">
      <c r="A24" s="18" t="s">
        <v>45</v>
      </c>
      <c r="B24" s="9"/>
      <c r="C24" s="9" t="s">
        <v>42</v>
      </c>
      <c r="D24" s="32" t="s">
        <v>106</v>
      </c>
      <c r="E24" s="19" t="s">
        <v>36</v>
      </c>
      <c r="F24" s="19" t="s">
        <v>36</v>
      </c>
    </row>
    <row r="25" spans="1:8" ht="15" customHeight="1" x14ac:dyDescent="0.25">
      <c r="A25" s="18" t="s">
        <v>52</v>
      </c>
      <c r="B25" s="20" t="s">
        <v>42</v>
      </c>
      <c r="C25" s="9"/>
      <c r="D25" s="32"/>
      <c r="E25" s="19"/>
      <c r="F25" s="19"/>
    </row>
    <row r="26" spans="1:8" ht="15" customHeight="1" x14ac:dyDescent="0.25">
      <c r="A26" s="4"/>
      <c r="B26" s="4"/>
      <c r="C26" s="4"/>
      <c r="E26" s="4"/>
      <c r="F26" s="4"/>
    </row>
    <row r="27" spans="1:8" ht="15" customHeight="1" x14ac:dyDescent="0.25">
      <c r="A27" s="17" t="s">
        <v>53</v>
      </c>
      <c r="B27" s="20">
        <v>1.0549999999999999</v>
      </c>
      <c r="C27" s="9">
        <v>1.0569999999999999</v>
      </c>
      <c r="D27" s="31">
        <v>1.0589999999999999</v>
      </c>
      <c r="E27" s="24" t="s">
        <v>106</v>
      </c>
      <c r="F27" s="9">
        <v>1.0609999999999999</v>
      </c>
    </row>
    <row r="28" spans="1:8" ht="15" customHeight="1" x14ac:dyDescent="0.25">
      <c r="A28" s="17" t="s">
        <v>55</v>
      </c>
      <c r="B28" s="20">
        <v>1.014</v>
      </c>
      <c r="C28" s="9">
        <v>1.012</v>
      </c>
      <c r="D28" s="31">
        <v>1.024</v>
      </c>
      <c r="E28" s="9">
        <v>1.008</v>
      </c>
      <c r="F28" s="9">
        <v>1.01</v>
      </c>
    </row>
    <row r="29" spans="1:8" ht="15" customHeight="1" x14ac:dyDescent="0.25">
      <c r="A29" s="17" t="s">
        <v>57</v>
      </c>
      <c r="B29" s="36">
        <v>152</v>
      </c>
      <c r="C29" s="33">
        <v>154</v>
      </c>
      <c r="D29" s="34" t="s">
        <v>117</v>
      </c>
      <c r="E29" s="9">
        <v>149</v>
      </c>
      <c r="F29" s="9">
        <v>150</v>
      </c>
    </row>
    <row r="30" spans="1:8" ht="15" customHeight="1" x14ac:dyDescent="0.25">
      <c r="A30" s="17" t="s">
        <v>58</v>
      </c>
      <c r="B30" s="20">
        <v>2042</v>
      </c>
      <c r="C30" s="9">
        <v>2124</v>
      </c>
      <c r="D30" s="34">
        <v>810</v>
      </c>
      <c r="E30" s="24">
        <v>838</v>
      </c>
      <c r="F30" s="24">
        <v>2007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74</vt:i4>
      </vt:variant>
    </vt:vector>
  </HeadingPairs>
  <TitlesOfParts>
    <vt:vector size="74" baseType="lpstr">
      <vt:lpstr>Table of Contents</vt:lpstr>
      <vt:lpstr>Notes</vt:lpstr>
      <vt:lpstr>1A</vt:lpstr>
      <vt:lpstr>1B</vt:lpstr>
      <vt:lpstr>1D</vt:lpstr>
      <vt:lpstr>1E</vt:lpstr>
      <vt:lpstr>2A</vt:lpstr>
      <vt:lpstr>2B</vt:lpstr>
      <vt:lpstr>2C</vt:lpstr>
      <vt:lpstr>3A</vt:lpstr>
      <vt:lpstr>3B</vt:lpstr>
      <vt:lpstr>4A</vt:lpstr>
      <vt:lpstr>4B</vt:lpstr>
      <vt:lpstr>4C</vt:lpstr>
      <vt:lpstr>5A</vt:lpstr>
      <vt:lpstr>5C</vt:lpstr>
      <vt:lpstr>5D</vt:lpstr>
      <vt:lpstr>6A</vt:lpstr>
      <vt:lpstr>6B</vt:lpstr>
      <vt:lpstr>6C</vt:lpstr>
      <vt:lpstr>6D</vt:lpstr>
      <vt:lpstr>7A</vt:lpstr>
      <vt:lpstr>7B</vt:lpstr>
      <vt:lpstr>7C</vt:lpstr>
      <vt:lpstr>8A</vt:lpstr>
      <vt:lpstr>8B</vt:lpstr>
      <vt:lpstr>8C</vt:lpstr>
      <vt:lpstr>9A</vt:lpstr>
      <vt:lpstr>9B</vt:lpstr>
      <vt:lpstr>9C</vt:lpstr>
      <vt:lpstr>9E</vt:lpstr>
      <vt:lpstr>10A</vt:lpstr>
      <vt:lpstr>10B</vt:lpstr>
      <vt:lpstr>10C</vt:lpstr>
      <vt:lpstr>11A</vt:lpstr>
      <vt:lpstr>11B</vt:lpstr>
      <vt:lpstr>11C</vt:lpstr>
      <vt:lpstr>12A</vt:lpstr>
      <vt:lpstr>12B</vt:lpstr>
      <vt:lpstr>12C</vt:lpstr>
      <vt:lpstr>13A</vt:lpstr>
      <vt:lpstr>13C</vt:lpstr>
      <vt:lpstr>13D</vt:lpstr>
      <vt:lpstr>13E</vt:lpstr>
      <vt:lpstr>13F</vt:lpstr>
      <vt:lpstr>14A</vt:lpstr>
      <vt:lpstr>14B</vt:lpstr>
      <vt:lpstr>14C</vt:lpstr>
      <vt:lpstr>15A</vt:lpstr>
      <vt:lpstr>15C</vt:lpstr>
      <vt:lpstr>15D</vt:lpstr>
      <vt:lpstr>16A</vt:lpstr>
      <vt:lpstr>16C</vt:lpstr>
      <vt:lpstr>16D</vt:lpstr>
      <vt:lpstr>16E</vt:lpstr>
      <vt:lpstr>17A</vt:lpstr>
      <vt:lpstr>17B</vt:lpstr>
      <vt:lpstr>17D</vt:lpstr>
      <vt:lpstr>17E</vt:lpstr>
      <vt:lpstr>17F</vt:lpstr>
      <vt:lpstr>18A</vt:lpstr>
      <vt:lpstr>18B</vt:lpstr>
      <vt:lpstr>18C</vt:lpstr>
      <vt:lpstr>18D</vt:lpstr>
      <vt:lpstr>18E</vt:lpstr>
      <vt:lpstr>19A</vt:lpstr>
      <vt:lpstr>19B</vt:lpstr>
      <vt:lpstr>19C</vt:lpstr>
      <vt:lpstr>20</vt:lpstr>
      <vt:lpstr>21A</vt:lpstr>
      <vt:lpstr>22A</vt:lpstr>
      <vt:lpstr>22B</vt:lpstr>
      <vt:lpstr>22C</vt:lpstr>
      <vt:lpstr>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Neville, Michael (G.)</dc:creator>
  <cp:lastModifiedBy>Neville, Michael (G.)</cp:lastModifiedBy>
  <dcterms:created xsi:type="dcterms:W3CDTF">2016-11-02T16:36:14Z</dcterms:created>
  <dcterms:modified xsi:type="dcterms:W3CDTF">2016-11-07T19:31:30Z</dcterms:modified>
</cp:coreProperties>
</file>